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05" yWindow="285" windowWidth="10350" windowHeight="13740" firstSheet="2" activeTab="11"/>
  </bookViews>
  <sheets>
    <sheet name="INPUTS" sheetId="1" r:id="rId1"/>
    <sheet name="Salts" sheetId="2" r:id="rId2"/>
    <sheet name="Prices" sheetId="3" r:id="rId3"/>
    <sheet name="Air" sheetId="4" r:id="rId4"/>
    <sheet name="Stoichiometry" sheetId="5" r:id="rId5"/>
    <sheet name="LCA inventory" sheetId="7" r:id="rId6"/>
    <sheet name="Scenarios" sheetId="8" r:id="rId7"/>
    <sheet name="Reference_system" sheetId="9" r:id="rId8"/>
    <sheet name="Biomass recovery" sheetId="10" r:id="rId9"/>
    <sheet name="Heat balance" sheetId="11" r:id="rId10"/>
    <sheet name="LCA_Results" sheetId="6" r:id="rId11"/>
    <sheet name="Result summary" sheetId="12" r:id="rId12"/>
    <sheet name="Bulk materials" sheetId="13" r:id="rId13"/>
    <sheet name="Component balance" sheetId="14" r:id="rId14"/>
  </sheets>
  <calcPr calcId="145621"/>
</workbook>
</file>

<file path=xl/calcChain.xml><?xml version="1.0" encoding="utf-8"?>
<calcChain xmlns="http://schemas.openxmlformats.org/spreadsheetml/2006/main">
  <c r="D86" i="6" l="1"/>
  <c r="D78" i="6"/>
  <c r="D70" i="6"/>
  <c r="T69" i="6" s="1"/>
  <c r="D62" i="6"/>
  <c r="D54" i="6"/>
  <c r="D46" i="6"/>
  <c r="T45" i="6" s="1"/>
  <c r="D38" i="6"/>
  <c r="T37" i="6" s="1"/>
  <c r="D30" i="6"/>
  <c r="T29" i="6" s="1"/>
  <c r="D22" i="6"/>
  <c r="D14" i="6"/>
  <c r="T13" i="6" s="1"/>
  <c r="D6" i="6"/>
  <c r="T5" i="6" s="1"/>
  <c r="T85" i="6"/>
  <c r="T77" i="6"/>
  <c r="T61" i="6"/>
  <c r="T53" i="6"/>
  <c r="T21" i="6"/>
  <c r="G2" i="6"/>
  <c r="B41" i="9"/>
  <c r="B39" i="9"/>
  <c r="B35" i="9"/>
  <c r="C15" i="8"/>
  <c r="C14" i="8"/>
  <c r="C73" i="8" l="1"/>
  <c r="C77" i="8"/>
  <c r="C76" i="8"/>
  <c r="C72" i="8"/>
  <c r="C68" i="8"/>
  <c r="B61" i="8"/>
  <c r="B62" i="8"/>
  <c r="B63" i="8"/>
  <c r="B60" i="8"/>
  <c r="B59" i="8"/>
  <c r="B76" i="8"/>
  <c r="U76" i="8"/>
  <c r="U77" i="8"/>
  <c r="T76" i="8"/>
  <c r="T77" i="8"/>
  <c r="T75" i="8"/>
  <c r="U73" i="8"/>
  <c r="U72" i="8"/>
  <c r="T72" i="8"/>
  <c r="T58" i="8"/>
  <c r="S77" i="8"/>
  <c r="R77" i="8"/>
  <c r="S76" i="8"/>
  <c r="R76" i="8"/>
  <c r="R75" i="8"/>
  <c r="S73" i="8"/>
  <c r="S72" i="8"/>
  <c r="R72" i="8"/>
  <c r="R64" i="8"/>
  <c r="T64" i="8" s="1"/>
  <c r="R65" i="8"/>
  <c r="T65" i="8" s="1"/>
  <c r="R66" i="8"/>
  <c r="T66" i="8" s="1"/>
  <c r="R69" i="8"/>
  <c r="T69" i="8" s="1"/>
  <c r="R70" i="8"/>
  <c r="T70" i="8" s="1"/>
  <c r="R58" i="8"/>
  <c r="Q77" i="8"/>
  <c r="P77" i="8"/>
  <c r="Q76" i="8"/>
  <c r="P76" i="8"/>
  <c r="P75" i="8"/>
  <c r="Q73" i="8"/>
  <c r="Q72" i="8"/>
  <c r="P72" i="8"/>
  <c r="P64" i="8"/>
  <c r="P65" i="8"/>
  <c r="P66" i="8"/>
  <c r="P69" i="8"/>
  <c r="P70" i="8"/>
  <c r="P58" i="8"/>
  <c r="N76" i="8"/>
  <c r="N75" i="8"/>
  <c r="L76" i="8"/>
  <c r="L75" i="8"/>
  <c r="K77" i="8"/>
  <c r="J77" i="8"/>
  <c r="K76" i="8"/>
  <c r="J76" i="8"/>
  <c r="J75" i="8"/>
  <c r="K73" i="8"/>
  <c r="K72" i="8"/>
  <c r="J72" i="8"/>
  <c r="K68" i="8"/>
  <c r="J69" i="8"/>
  <c r="J70" i="8"/>
  <c r="I77" i="8"/>
  <c r="H77" i="8"/>
  <c r="I76" i="8"/>
  <c r="H76" i="8"/>
  <c r="H75" i="8"/>
  <c r="I73" i="8"/>
  <c r="I72" i="8"/>
  <c r="H72" i="8"/>
  <c r="I68" i="8"/>
  <c r="H58" i="8"/>
  <c r="G77" i="8"/>
  <c r="F77" i="8"/>
  <c r="G76" i="8"/>
  <c r="F76" i="8"/>
  <c r="F75" i="8"/>
  <c r="G73" i="8"/>
  <c r="G72" i="8"/>
  <c r="F72" i="8"/>
  <c r="G68" i="8"/>
  <c r="F64" i="8"/>
  <c r="F67" i="8"/>
  <c r="F69" i="8"/>
  <c r="F70" i="8"/>
  <c r="E72" i="8"/>
  <c r="D72" i="8"/>
  <c r="E68" i="8"/>
  <c r="D64" i="8"/>
  <c r="D65" i="8"/>
  <c r="D66" i="8"/>
  <c r="D67" i="8"/>
  <c r="D69" i="8"/>
  <c r="D70" i="8"/>
  <c r="Y18" i="12" l="1"/>
  <c r="X18" i="12"/>
  <c r="W18" i="12"/>
  <c r="V18" i="12"/>
  <c r="U18" i="12"/>
  <c r="T18" i="12"/>
  <c r="S18" i="12"/>
  <c r="R18" i="12"/>
  <c r="Q18" i="12"/>
  <c r="Q21" i="12"/>
  <c r="R21" i="12"/>
  <c r="S21" i="12"/>
  <c r="T21" i="12"/>
  <c r="U21" i="12"/>
  <c r="V21" i="12"/>
  <c r="W21" i="12"/>
  <c r="X21" i="12"/>
  <c r="Y21" i="12"/>
  <c r="P21" i="12"/>
  <c r="M3" i="12"/>
  <c r="H4" i="12" l="1"/>
  <c r="K4" i="12"/>
  <c r="H5" i="12"/>
  <c r="K5" i="12"/>
  <c r="H6" i="12"/>
  <c r="K6" i="12"/>
  <c r="H7" i="12"/>
  <c r="K7" i="12"/>
  <c r="H8" i="12"/>
  <c r="K8" i="12"/>
  <c r="H9" i="12"/>
  <c r="K9" i="12"/>
  <c r="H10" i="12"/>
  <c r="K10" i="12"/>
  <c r="H11" i="12"/>
  <c r="K11" i="12"/>
  <c r="H12" i="12"/>
  <c r="K12" i="12"/>
  <c r="H13" i="12"/>
  <c r="K13" i="12"/>
  <c r="H14" i="12"/>
  <c r="K14" i="12"/>
  <c r="AA85" i="6"/>
  <c r="AB85" i="6"/>
  <c r="AA77" i="6"/>
  <c r="AB77" i="6"/>
  <c r="AA69" i="6"/>
  <c r="AB69" i="6"/>
  <c r="AA61" i="6"/>
  <c r="AB61" i="6"/>
  <c r="AB53" i="6"/>
  <c r="AA53" i="6"/>
  <c r="AA45" i="6"/>
  <c r="AB45" i="6"/>
  <c r="AA37" i="6"/>
  <c r="AB37" i="6"/>
  <c r="AA29" i="6"/>
  <c r="AB29" i="6"/>
  <c r="AA21" i="6"/>
  <c r="AB21" i="6"/>
  <c r="AA13" i="6"/>
  <c r="AB13" i="6"/>
  <c r="AB5" i="6"/>
  <c r="AA5" i="6"/>
  <c r="Z5" i="6"/>
  <c r="Q3" i="12" l="1"/>
  <c r="U3" i="12"/>
  <c r="Y3" i="12"/>
  <c r="R3" i="12"/>
  <c r="V3" i="12"/>
  <c r="P3" i="12"/>
  <c r="S3" i="12"/>
  <c r="W3" i="12"/>
  <c r="T3" i="12"/>
  <c r="X3" i="12"/>
  <c r="J4" i="12"/>
  <c r="J5" i="12"/>
  <c r="J6" i="12"/>
  <c r="J7" i="12"/>
  <c r="J8" i="12"/>
  <c r="J9" i="12"/>
  <c r="J10" i="12"/>
  <c r="J11" i="12"/>
  <c r="J12" i="12"/>
  <c r="J13" i="12"/>
  <c r="J14" i="12"/>
  <c r="Z85" i="6"/>
  <c r="Z77" i="6"/>
  <c r="Z69" i="6"/>
  <c r="Z61" i="6"/>
  <c r="Z53" i="6"/>
  <c r="Z45" i="6"/>
  <c r="Z37" i="6"/>
  <c r="Z29" i="6"/>
  <c r="Z21" i="6"/>
  <c r="Z13" i="6"/>
  <c r="T14" i="8"/>
  <c r="U15" i="8"/>
  <c r="T15" i="8"/>
  <c r="O15" i="8"/>
  <c r="N15" i="8"/>
  <c r="N14" i="8"/>
  <c r="U23" i="8"/>
  <c r="T23" i="8"/>
  <c r="U13" i="8"/>
  <c r="T10" i="8"/>
  <c r="T5" i="8"/>
  <c r="T4" i="8"/>
  <c r="U41" i="8"/>
  <c r="T9" i="8" s="1"/>
  <c r="T6" i="8" l="1"/>
  <c r="T13" i="8"/>
  <c r="U16" i="8" s="1"/>
  <c r="T3" i="8"/>
  <c r="P23" i="8"/>
  <c r="K23" i="8"/>
  <c r="Q23" i="8" s="1"/>
  <c r="J23" i="8"/>
  <c r="K15" i="8"/>
  <c r="Q15" i="8" s="1"/>
  <c r="J15" i="8"/>
  <c r="J14" i="8"/>
  <c r="P14" i="8" s="1"/>
  <c r="D15" i="8"/>
  <c r="E76" i="8" s="1"/>
  <c r="D76" i="8"/>
  <c r="D75" i="8"/>
  <c r="E14" i="12" l="1"/>
  <c r="F14" i="12"/>
  <c r="E12" i="12"/>
  <c r="F12" i="12"/>
  <c r="E11" i="12"/>
  <c r="F11" i="12"/>
  <c r="F10" i="12"/>
  <c r="E9" i="12"/>
  <c r="F9" i="12"/>
  <c r="D7" i="12"/>
  <c r="I7" i="12"/>
  <c r="E6" i="12"/>
  <c r="F6" i="12"/>
  <c r="I4" i="12"/>
  <c r="B4" i="12"/>
  <c r="P4" i="12" s="1"/>
  <c r="R85" i="6"/>
  <c r="R87" i="6"/>
  <c r="R86" i="6"/>
  <c r="Y85" i="6"/>
  <c r="G14" i="12" s="1"/>
  <c r="X85" i="6"/>
  <c r="W85" i="6"/>
  <c r="I14" i="12" s="1"/>
  <c r="V85" i="6"/>
  <c r="U85" i="6"/>
  <c r="D14" i="12" s="1"/>
  <c r="B14" i="12"/>
  <c r="S85" i="6"/>
  <c r="R89" i="6" s="1"/>
  <c r="R79" i="6"/>
  <c r="R78" i="6"/>
  <c r="Y77" i="6"/>
  <c r="G13" i="12" s="1"/>
  <c r="X77" i="6"/>
  <c r="F13" i="12" s="1"/>
  <c r="W77" i="6"/>
  <c r="I13" i="12" s="1"/>
  <c r="V77" i="6"/>
  <c r="E13" i="12" s="1"/>
  <c r="U77" i="6"/>
  <c r="D13" i="12" s="1"/>
  <c r="B13" i="12"/>
  <c r="S77" i="6"/>
  <c r="R77" i="6"/>
  <c r="R71" i="6"/>
  <c r="R70" i="6"/>
  <c r="Y69" i="6"/>
  <c r="G12" i="12" s="1"/>
  <c r="X69" i="6"/>
  <c r="W69" i="6"/>
  <c r="I12" i="12" s="1"/>
  <c r="V69" i="6"/>
  <c r="U69" i="6"/>
  <c r="D12" i="12" s="1"/>
  <c r="B12" i="12"/>
  <c r="S69" i="6"/>
  <c r="R69" i="6"/>
  <c r="R63" i="6"/>
  <c r="R62" i="6"/>
  <c r="Y61" i="6"/>
  <c r="G11" i="12" s="1"/>
  <c r="X61" i="6"/>
  <c r="W61" i="6"/>
  <c r="I11" i="12" s="1"/>
  <c r="V61" i="6"/>
  <c r="U61" i="6"/>
  <c r="D11" i="12" s="1"/>
  <c r="B11" i="12"/>
  <c r="S61" i="6"/>
  <c r="R65" i="6" s="1"/>
  <c r="R61" i="6"/>
  <c r="R55" i="6"/>
  <c r="R54" i="6"/>
  <c r="Y53" i="6"/>
  <c r="G10" i="12" s="1"/>
  <c r="X53" i="6"/>
  <c r="W53" i="6"/>
  <c r="I10" i="12" s="1"/>
  <c r="V53" i="6"/>
  <c r="E10" i="12" s="1"/>
  <c r="U53" i="6"/>
  <c r="D10" i="12" s="1"/>
  <c r="B10" i="12"/>
  <c r="S53" i="6"/>
  <c r="R53" i="6"/>
  <c r="R57" i="6" s="1"/>
  <c r="R47" i="6"/>
  <c r="R46" i="6"/>
  <c r="Y45" i="6"/>
  <c r="G9" i="12" s="1"/>
  <c r="X45" i="6"/>
  <c r="W45" i="6"/>
  <c r="I9" i="12" s="1"/>
  <c r="V45" i="6"/>
  <c r="U45" i="6"/>
  <c r="D9" i="12" s="1"/>
  <c r="B9" i="12"/>
  <c r="S45" i="6"/>
  <c r="R45" i="6"/>
  <c r="R49" i="6" s="1"/>
  <c r="R39" i="6"/>
  <c r="R38" i="6"/>
  <c r="Y37" i="6"/>
  <c r="G8" i="12" s="1"/>
  <c r="X37" i="6"/>
  <c r="F8" i="12" s="1"/>
  <c r="W37" i="6"/>
  <c r="I8" i="12" s="1"/>
  <c r="V37" i="6"/>
  <c r="E8" i="12" s="1"/>
  <c r="U37" i="6"/>
  <c r="D8" i="12" s="1"/>
  <c r="B8" i="12"/>
  <c r="S37" i="6"/>
  <c r="R37" i="6"/>
  <c r="R40" i="6" s="1"/>
  <c r="C8" i="12" s="1"/>
  <c r="R33" i="6"/>
  <c r="R31" i="6"/>
  <c r="R30" i="6"/>
  <c r="Y29" i="6"/>
  <c r="G7" i="12" s="1"/>
  <c r="X29" i="6"/>
  <c r="F7" i="12" s="1"/>
  <c r="W29" i="6"/>
  <c r="V29" i="6"/>
  <c r="E7" i="12" s="1"/>
  <c r="U29" i="6"/>
  <c r="B7" i="12"/>
  <c r="S29" i="6"/>
  <c r="R29" i="6"/>
  <c r="R32" i="6" s="1"/>
  <c r="C7" i="12" s="1"/>
  <c r="R23" i="6"/>
  <c r="R22" i="6"/>
  <c r="Y21" i="6"/>
  <c r="G6" i="12" s="1"/>
  <c r="X21" i="6"/>
  <c r="W21" i="6"/>
  <c r="I6" i="12" s="1"/>
  <c r="V21" i="6"/>
  <c r="U21" i="6"/>
  <c r="D6" i="12" s="1"/>
  <c r="B6" i="12"/>
  <c r="S21" i="6"/>
  <c r="R21" i="6"/>
  <c r="R15" i="6"/>
  <c r="R14" i="6"/>
  <c r="Y13" i="6"/>
  <c r="G5" i="12" s="1"/>
  <c r="X13" i="6"/>
  <c r="F5" i="12" s="1"/>
  <c r="W13" i="6"/>
  <c r="I5" i="12" s="1"/>
  <c r="V13" i="6"/>
  <c r="E5" i="12" s="1"/>
  <c r="U13" i="6"/>
  <c r="D5" i="12" s="1"/>
  <c r="B5" i="12"/>
  <c r="S13" i="6"/>
  <c r="R13" i="6"/>
  <c r="R17" i="6" s="1"/>
  <c r="Y5" i="6"/>
  <c r="G4" i="12" s="1"/>
  <c r="X5" i="6"/>
  <c r="F4" i="12" s="1"/>
  <c r="W5" i="6"/>
  <c r="D35" i="7"/>
  <c r="C35" i="7"/>
  <c r="C30" i="7" s="1"/>
  <c r="C34" i="7"/>
  <c r="S41" i="8"/>
  <c r="R14" i="8" s="1"/>
  <c r="J26" i="11"/>
  <c r="J22" i="11"/>
  <c r="J18" i="11"/>
  <c r="J14" i="11"/>
  <c r="J10" i="11"/>
  <c r="J6" i="11"/>
  <c r="M8" i="12" l="1"/>
  <c r="Q8" i="12"/>
  <c r="S8" i="12"/>
  <c r="W8" i="12"/>
  <c r="P8" i="12"/>
  <c r="T8" i="12"/>
  <c r="R8" i="12"/>
  <c r="U8" i="12"/>
  <c r="M7" i="12"/>
  <c r="R80" i="6"/>
  <c r="C13" i="12" s="1"/>
  <c r="R72" i="6"/>
  <c r="C12" i="12" s="1"/>
  <c r="R73" i="6"/>
  <c r="R64" i="6"/>
  <c r="C11" i="12" s="1"/>
  <c r="R56" i="6"/>
  <c r="C10" i="12" s="1"/>
  <c r="R48" i="6"/>
  <c r="C9" i="12" s="1"/>
  <c r="R41" i="6"/>
  <c r="R24" i="6"/>
  <c r="C6" i="12" s="1"/>
  <c r="R25" i="6"/>
  <c r="R88" i="6"/>
  <c r="C14" i="12" s="1"/>
  <c r="R81" i="6"/>
  <c r="R16" i="6"/>
  <c r="C5" i="12" s="1"/>
  <c r="O50" i="11"/>
  <c r="O40" i="11"/>
  <c r="C11" i="11"/>
  <c r="Q51" i="11"/>
  <c r="Q50" i="11"/>
  <c r="P41" i="11"/>
  <c r="N41" i="11"/>
  <c r="L41" i="11"/>
  <c r="L37" i="11"/>
  <c r="O41" i="11"/>
  <c r="P40" i="11"/>
  <c r="N40" i="11"/>
  <c r="L40" i="11"/>
  <c r="C26" i="11"/>
  <c r="C25" i="11"/>
  <c r="C24" i="11"/>
  <c r="C23" i="11"/>
  <c r="D22" i="11"/>
  <c r="C22" i="11"/>
  <c r="C21" i="11"/>
  <c r="C20" i="11"/>
  <c r="C19" i="11"/>
  <c r="C4" i="11"/>
  <c r="D14" i="11"/>
  <c r="C14" i="11"/>
  <c r="C13" i="11"/>
  <c r="C12" i="11"/>
  <c r="D10" i="11"/>
  <c r="C10" i="11"/>
  <c r="C9" i="11"/>
  <c r="C8" i="11"/>
  <c r="C7" i="11"/>
  <c r="C6" i="11"/>
  <c r="C5" i="11"/>
  <c r="C3" i="11"/>
  <c r="C18" i="11"/>
  <c r="C17" i="11"/>
  <c r="C16" i="11"/>
  <c r="C15" i="11"/>
  <c r="V7" i="12" l="1"/>
  <c r="Y7" i="12"/>
  <c r="X7" i="12"/>
  <c r="W7" i="12"/>
  <c r="Q9" i="12"/>
  <c r="M12" i="12"/>
  <c r="T7" i="12"/>
  <c r="S7" i="12"/>
  <c r="V8" i="12"/>
  <c r="Y8" i="12"/>
  <c r="X8" i="12"/>
  <c r="Q5" i="12"/>
  <c r="M11" i="12"/>
  <c r="M10" i="12"/>
  <c r="Q10" i="12"/>
  <c r="M13" i="12"/>
  <c r="R7" i="12"/>
  <c r="P7" i="12"/>
  <c r="Q7" i="12"/>
  <c r="U7" i="12"/>
  <c r="M5" i="12"/>
  <c r="M14" i="12"/>
  <c r="M6" i="12"/>
  <c r="M9" i="12"/>
  <c r="R41" i="11"/>
  <c r="I4" i="8"/>
  <c r="J4" i="8" s="1"/>
  <c r="P4" i="8" s="1"/>
  <c r="L7" i="11"/>
  <c r="M7" i="11"/>
  <c r="O7" i="11"/>
  <c r="L8" i="11"/>
  <c r="M8" i="11"/>
  <c r="O8" i="11"/>
  <c r="L9" i="11"/>
  <c r="M9" i="11"/>
  <c r="O9" i="11"/>
  <c r="L10" i="11"/>
  <c r="M10" i="11"/>
  <c r="O10" i="11"/>
  <c r="L11" i="11"/>
  <c r="O11" i="11"/>
  <c r="L12" i="11"/>
  <c r="O12" i="11"/>
  <c r="L13" i="11"/>
  <c r="O13" i="11"/>
  <c r="L14" i="11"/>
  <c r="O14" i="11"/>
  <c r="L15" i="11"/>
  <c r="M15" i="11"/>
  <c r="O15" i="11"/>
  <c r="L16" i="11"/>
  <c r="M16" i="11"/>
  <c r="O16" i="11"/>
  <c r="L17" i="11"/>
  <c r="M17" i="11"/>
  <c r="O17" i="11"/>
  <c r="L18" i="11"/>
  <c r="M18" i="11"/>
  <c r="O18" i="11"/>
  <c r="L19" i="11"/>
  <c r="O19" i="11"/>
  <c r="L20" i="11"/>
  <c r="O20" i="11"/>
  <c r="L21" i="11"/>
  <c r="O21" i="11"/>
  <c r="L22" i="11"/>
  <c r="O22" i="11"/>
  <c r="L23" i="11"/>
  <c r="O23" i="11"/>
  <c r="L24" i="11"/>
  <c r="O24" i="11"/>
  <c r="L25" i="11"/>
  <c r="O25" i="11"/>
  <c r="L26" i="11"/>
  <c r="O26" i="11"/>
  <c r="M4" i="11"/>
  <c r="M5" i="11"/>
  <c r="M6" i="11"/>
  <c r="M3" i="11"/>
  <c r="L4" i="11"/>
  <c r="L5" i="11"/>
  <c r="L6" i="11"/>
  <c r="F37" i="11"/>
  <c r="L3" i="11"/>
  <c r="F38" i="11"/>
  <c r="O4" i="11" s="1"/>
  <c r="F36" i="11"/>
  <c r="D37" i="11"/>
  <c r="D38" i="11"/>
  <c r="D36" i="11"/>
  <c r="D43" i="11"/>
  <c r="D18" i="11" s="1"/>
  <c r="N18" i="11" s="1"/>
  <c r="D42" i="11"/>
  <c r="D26" i="11" s="1"/>
  <c r="N26" i="11" s="1"/>
  <c r="D41" i="11"/>
  <c r="D6" i="11" s="1"/>
  <c r="N6" i="11" s="1"/>
  <c r="E2" i="3"/>
  <c r="E3" i="3"/>
  <c r="K16" i="8"/>
  <c r="K13" i="8"/>
  <c r="J13" i="8"/>
  <c r="B31" i="11"/>
  <c r="B30" i="11"/>
  <c r="D9" i="11" s="1"/>
  <c r="N9" i="11" s="1"/>
  <c r="R4" i="8" l="1"/>
  <c r="L64" i="8" s="1"/>
  <c r="N64" i="8" s="1"/>
  <c r="J64" i="8"/>
  <c r="V6" i="12"/>
  <c r="Y6" i="12"/>
  <c r="X6" i="12"/>
  <c r="S6" i="12"/>
  <c r="R6" i="12"/>
  <c r="U6" i="12"/>
  <c r="T6" i="12"/>
  <c r="W6" i="12"/>
  <c r="P6" i="12"/>
  <c r="V13" i="12"/>
  <c r="Y13" i="12"/>
  <c r="X13" i="12"/>
  <c r="T13" i="12"/>
  <c r="R13" i="12"/>
  <c r="U13" i="12"/>
  <c r="S13" i="12"/>
  <c r="W13" i="12"/>
  <c r="P13" i="12"/>
  <c r="Y12" i="12"/>
  <c r="V12" i="12"/>
  <c r="X12" i="12"/>
  <c r="W12" i="12"/>
  <c r="S12" i="12"/>
  <c r="R12" i="12"/>
  <c r="P12" i="12"/>
  <c r="U12" i="12"/>
  <c r="T12" i="12"/>
  <c r="V14" i="12"/>
  <c r="Y14" i="12"/>
  <c r="X14" i="12"/>
  <c r="U14" i="12"/>
  <c r="W14" i="12"/>
  <c r="S14" i="12"/>
  <c r="T14" i="12"/>
  <c r="P14" i="12"/>
  <c r="R14" i="12"/>
  <c r="V5" i="12"/>
  <c r="Y5" i="12"/>
  <c r="X5" i="12"/>
  <c r="R5" i="12"/>
  <c r="U5" i="12"/>
  <c r="S5" i="12"/>
  <c r="P5" i="12"/>
  <c r="W5" i="12"/>
  <c r="T5" i="12"/>
  <c r="V10" i="12"/>
  <c r="Y10" i="12"/>
  <c r="X10" i="12"/>
  <c r="P10" i="12"/>
  <c r="S10" i="12"/>
  <c r="W10" i="12"/>
  <c r="R10" i="12"/>
  <c r="U10" i="12"/>
  <c r="T10" i="12"/>
  <c r="Q14" i="12"/>
  <c r="Y11" i="12"/>
  <c r="V11" i="12"/>
  <c r="X11" i="12"/>
  <c r="S11" i="12"/>
  <c r="T11" i="12"/>
  <c r="P11" i="12"/>
  <c r="R11" i="12"/>
  <c r="U11" i="12"/>
  <c r="W11" i="12"/>
  <c r="V9" i="12"/>
  <c r="Y9" i="12"/>
  <c r="X9" i="12"/>
  <c r="P9" i="12"/>
  <c r="U9" i="12"/>
  <c r="W9" i="12"/>
  <c r="S9" i="12"/>
  <c r="T9" i="12"/>
  <c r="R9" i="12"/>
  <c r="Q13" i="12"/>
  <c r="Q11" i="12"/>
  <c r="Q12" i="12"/>
  <c r="Q6" i="12"/>
  <c r="I6" i="11"/>
  <c r="I10" i="11"/>
  <c r="I14" i="11"/>
  <c r="I18" i="11"/>
  <c r="I22" i="11"/>
  <c r="I26" i="11"/>
  <c r="I3" i="11"/>
  <c r="I7" i="11"/>
  <c r="I11" i="11"/>
  <c r="I15" i="11"/>
  <c r="I19" i="11"/>
  <c r="I23" i="11"/>
  <c r="I4" i="11"/>
  <c r="I8" i="11"/>
  <c r="I12" i="11"/>
  <c r="I16" i="11"/>
  <c r="I20" i="11"/>
  <c r="I24" i="11"/>
  <c r="I25" i="11"/>
  <c r="I5" i="11"/>
  <c r="I9" i="11"/>
  <c r="I13" i="11"/>
  <c r="I17" i="11"/>
  <c r="I21" i="11"/>
  <c r="Q9" i="11"/>
  <c r="G9" i="11"/>
  <c r="H9" i="11"/>
  <c r="D23" i="11"/>
  <c r="G6" i="11"/>
  <c r="N36" i="11"/>
  <c r="N37" i="11" s="1"/>
  <c r="R37" i="11" s="1"/>
  <c r="H6" i="11"/>
  <c r="H14" i="11"/>
  <c r="H18" i="11"/>
  <c r="H22" i="11"/>
  <c r="H26" i="11"/>
  <c r="G10" i="11"/>
  <c r="G18" i="11"/>
  <c r="D19" i="11"/>
  <c r="D11" i="11"/>
  <c r="D8" i="11"/>
  <c r="D21" i="11"/>
  <c r="D12" i="11"/>
  <c r="H10" i="11"/>
  <c r="O36" i="11"/>
  <c r="O37" i="11" s="1"/>
  <c r="D13" i="11"/>
  <c r="D7" i="11"/>
  <c r="D20" i="11"/>
  <c r="Q18" i="11"/>
  <c r="N10" i="11"/>
  <c r="Q10" i="11" s="1"/>
  <c r="N22" i="11"/>
  <c r="N14" i="11"/>
  <c r="D4" i="11"/>
  <c r="D15" i="11"/>
  <c r="D24" i="11"/>
  <c r="O3" i="11"/>
  <c r="O5" i="11"/>
  <c r="D17" i="11"/>
  <c r="D25" i="11"/>
  <c r="O6" i="11"/>
  <c r="Q6" i="11" s="1"/>
  <c r="D3" i="11"/>
  <c r="D16" i="11"/>
  <c r="D5" i="11"/>
  <c r="B17" i="9"/>
  <c r="P18" i="12" l="1"/>
  <c r="T20" i="12" s="1"/>
  <c r="O45" i="11"/>
  <c r="O46" i="11" s="1"/>
  <c r="H8" i="11"/>
  <c r="G8" i="11"/>
  <c r="N8" i="11"/>
  <c r="Q8" i="11" s="1"/>
  <c r="N23" i="11"/>
  <c r="H23" i="11"/>
  <c r="N5" i="11"/>
  <c r="Q5" i="11" s="1"/>
  <c r="G5" i="11"/>
  <c r="H5" i="11"/>
  <c r="N25" i="11"/>
  <c r="H25" i="11"/>
  <c r="N24" i="11"/>
  <c r="H24" i="11"/>
  <c r="H20" i="11"/>
  <c r="N20" i="11"/>
  <c r="H11" i="11"/>
  <c r="N11" i="11"/>
  <c r="N16" i="11"/>
  <c r="Q16" i="11" s="1"/>
  <c r="H16" i="11"/>
  <c r="G16" i="11"/>
  <c r="N17" i="11"/>
  <c r="Q17" i="11" s="1"/>
  <c r="H17" i="11"/>
  <c r="G17" i="11"/>
  <c r="N15" i="11"/>
  <c r="Q15" i="11" s="1"/>
  <c r="H15" i="11"/>
  <c r="G15" i="11"/>
  <c r="H7" i="11"/>
  <c r="G7" i="11"/>
  <c r="N7" i="11"/>
  <c r="Q7" i="11" s="1"/>
  <c r="R10" i="11" s="1"/>
  <c r="H12" i="11"/>
  <c r="N12" i="11"/>
  <c r="H19" i="11"/>
  <c r="N19" i="11"/>
  <c r="N3" i="11"/>
  <c r="Q3" i="11" s="1"/>
  <c r="G3" i="11"/>
  <c r="H3" i="11"/>
  <c r="N4" i="11"/>
  <c r="Q4" i="11" s="1"/>
  <c r="R6" i="11" s="1"/>
  <c r="H4" i="11"/>
  <c r="G4" i="11"/>
  <c r="H13" i="11"/>
  <c r="N13" i="11"/>
  <c r="H21" i="11"/>
  <c r="N21" i="11"/>
  <c r="B24" i="9"/>
  <c r="B15" i="9"/>
  <c r="B16" i="9" s="1"/>
  <c r="C29" i="7"/>
  <c r="L14" i="8" s="1"/>
  <c r="U5" i="6"/>
  <c r="D4" i="12" s="1"/>
  <c r="V20" i="12" l="1"/>
  <c r="Q20" i="12"/>
  <c r="X20" i="12"/>
  <c r="W20" i="12"/>
  <c r="U20" i="12"/>
  <c r="Y20" i="12"/>
  <c r="P20" i="12"/>
  <c r="S20" i="12"/>
  <c r="R20" i="12"/>
  <c r="R18" i="11"/>
  <c r="B20" i="9"/>
  <c r="B18" i="9"/>
  <c r="B21" i="9"/>
  <c r="B19" i="9"/>
  <c r="L13" i="8"/>
  <c r="P13" i="8" s="1"/>
  <c r="F14" i="3"/>
  <c r="F13" i="3"/>
  <c r="F12" i="3"/>
  <c r="F5" i="3"/>
  <c r="F6" i="3"/>
  <c r="F7" i="3"/>
  <c r="F8" i="3"/>
  <c r="F9" i="3"/>
  <c r="F10" i="3"/>
  <c r="F4" i="3"/>
  <c r="E10" i="3"/>
  <c r="R13" i="8" l="1"/>
  <c r="L72" i="8" s="1"/>
  <c r="N72" i="8" s="1"/>
  <c r="R6" i="6"/>
  <c r="V5" i="6"/>
  <c r="E4" i="12" s="1"/>
  <c r="R5" i="6"/>
  <c r="R7" i="6"/>
  <c r="S5" i="6"/>
  <c r="R9" i="6" l="1"/>
  <c r="R8" i="6"/>
  <c r="C4" i="12" s="1"/>
  <c r="F3" i="3"/>
  <c r="F2" i="3"/>
  <c r="M4" i="12" l="1"/>
  <c r="Q4" i="12" s="1"/>
  <c r="L4" i="8"/>
  <c r="H64" i="8" s="1"/>
  <c r="L5" i="8"/>
  <c r="H65" i="8" s="1"/>
  <c r="L6" i="8"/>
  <c r="H66" i="8" s="1"/>
  <c r="L7" i="8"/>
  <c r="H67" i="8" s="1"/>
  <c r="M8" i="8"/>
  <c r="L9" i="8"/>
  <c r="H69" i="8" s="1"/>
  <c r="L10" i="8"/>
  <c r="H70" i="8" s="1"/>
  <c r="J10" i="8"/>
  <c r="P10" i="8" s="1"/>
  <c r="R10" i="8" s="1"/>
  <c r="L70" i="8" s="1"/>
  <c r="N70" i="8" s="1"/>
  <c r="J9" i="8"/>
  <c r="P9" i="8" s="1"/>
  <c r="R9" i="8" s="1"/>
  <c r="L69" i="8" s="1"/>
  <c r="N69" i="8" s="1"/>
  <c r="K8" i="8"/>
  <c r="Q8" i="8" s="1"/>
  <c r="S8" i="8" s="1"/>
  <c r="M68" i="8" s="1"/>
  <c r="O68" i="8" s="1"/>
  <c r="J7" i="8"/>
  <c r="P7" i="8" s="1"/>
  <c r="R7" i="8" l="1"/>
  <c r="L67" i="8" s="1"/>
  <c r="N67" i="8" s="1"/>
  <c r="J67" i="8"/>
  <c r="Y4" i="12"/>
  <c r="V4" i="12"/>
  <c r="X4" i="12"/>
  <c r="U4" i="12"/>
  <c r="T4" i="12"/>
  <c r="W4" i="12"/>
  <c r="R4" i="12"/>
  <c r="S4" i="12"/>
  <c r="F36" i="10"/>
  <c r="F35" i="10"/>
  <c r="F3" i="10"/>
  <c r="K7" i="10"/>
  <c r="K6" i="10"/>
  <c r="K5" i="10"/>
  <c r="K4" i="10"/>
  <c r="K3" i="10"/>
  <c r="O16" i="8" l="1"/>
  <c r="M13" i="8"/>
  <c r="Q13" i="8" s="1"/>
  <c r="C16" i="9"/>
  <c r="B11" i="9"/>
  <c r="O23" i="8"/>
  <c r="N23" i="8"/>
  <c r="I7" i="8"/>
  <c r="D30" i="7"/>
  <c r="D31" i="7"/>
  <c r="S13" i="8" l="1"/>
  <c r="M72" i="8" s="1"/>
  <c r="O72" i="8" s="1"/>
  <c r="Q16" i="8"/>
  <c r="S16" i="8" s="1"/>
  <c r="M73" i="8" s="1"/>
  <c r="O73" i="8" s="1"/>
  <c r="M16" i="8"/>
  <c r="D16" i="9"/>
  <c r="D16" i="8"/>
  <c r="E73" i="8" s="1"/>
  <c r="H26" i="8"/>
  <c r="G3" i="8"/>
  <c r="E3" i="10" s="1"/>
  <c r="E32" i="10" s="1"/>
  <c r="F3" i="8"/>
  <c r="D3" i="10" s="1"/>
  <c r="D32" i="10" s="1"/>
  <c r="E3" i="8"/>
  <c r="C3" i="10" s="1"/>
  <c r="C32" i="10" l="1"/>
  <c r="G3" i="10"/>
  <c r="I3" i="8"/>
  <c r="H3" i="8"/>
  <c r="B10" i="9"/>
  <c r="B9" i="9"/>
  <c r="K11" i="5"/>
  <c r="J47" i="8"/>
  <c r="I6" i="8"/>
  <c r="I5" i="8"/>
  <c r="D23" i="8"/>
  <c r="E77" i="8" s="1"/>
  <c r="C23" i="8"/>
  <c r="D77" i="8" s="1"/>
  <c r="C3" i="8"/>
  <c r="J5" i="8" l="1"/>
  <c r="D58" i="8"/>
  <c r="L3" i="8"/>
  <c r="J6" i="8"/>
  <c r="J3" i="8"/>
  <c r="M15" i="8"/>
  <c r="S15" i="8" s="1"/>
  <c r="M76" i="8" s="1"/>
  <c r="O76" i="8" s="1"/>
  <c r="L15" i="8"/>
  <c r="P15" i="8" s="1"/>
  <c r="R15" i="8" s="1"/>
  <c r="M23" i="8"/>
  <c r="S23" i="8" s="1"/>
  <c r="M77" i="8" s="1"/>
  <c r="O77" i="8" s="1"/>
  <c r="L23" i="8"/>
  <c r="R23" i="8" s="1"/>
  <c r="L77" i="8" s="1"/>
  <c r="N77" i="8" s="1"/>
  <c r="E5" i="3"/>
  <c r="B32" i="11"/>
  <c r="P5" i="8" l="1"/>
  <c r="F65" i="8"/>
  <c r="P6" i="8"/>
  <c r="F66" i="8"/>
  <c r="P3" i="8"/>
  <c r="F58" i="8"/>
  <c r="J46" i="8"/>
  <c r="E4" i="3" s="1"/>
  <c r="J49" i="8"/>
  <c r="E6" i="3" s="1"/>
  <c r="J48" i="8"/>
  <c r="E7" i="3" s="1"/>
  <c r="E14" i="11"/>
  <c r="E22" i="11"/>
  <c r="G22" i="11" s="1"/>
  <c r="E13" i="11"/>
  <c r="G13" i="11" s="1"/>
  <c r="E21" i="11"/>
  <c r="G21" i="11" s="1"/>
  <c r="E12" i="11"/>
  <c r="G12" i="11" s="1"/>
  <c r="E11" i="11"/>
  <c r="E19" i="11"/>
  <c r="G19" i="11" s="1"/>
  <c r="E20" i="11"/>
  <c r="G20" i="11" s="1"/>
  <c r="M14" i="11"/>
  <c r="Q14" i="11" s="1"/>
  <c r="E23" i="11"/>
  <c r="E26" i="11"/>
  <c r="E25" i="11"/>
  <c r="E24" i="11"/>
  <c r="F58" i="7"/>
  <c r="G73" i="7"/>
  <c r="G68" i="7"/>
  <c r="G63" i="7"/>
  <c r="G58" i="7"/>
  <c r="R3" i="8" l="1"/>
  <c r="L58" i="8" s="1"/>
  <c r="N58" i="8" s="1"/>
  <c r="J58" i="8"/>
  <c r="R5" i="8"/>
  <c r="L65" i="8" s="1"/>
  <c r="N65" i="8" s="1"/>
  <c r="J65" i="8"/>
  <c r="R6" i="8"/>
  <c r="L66" i="8" s="1"/>
  <c r="N66" i="8" s="1"/>
  <c r="J66" i="8"/>
  <c r="M50" i="11"/>
  <c r="K14" i="11"/>
  <c r="L50" i="11" s="1"/>
  <c r="G14" i="11"/>
  <c r="M12" i="11"/>
  <c r="Q12" i="11" s="1"/>
  <c r="M20" i="11"/>
  <c r="Q20" i="11" s="1"/>
  <c r="M45" i="11"/>
  <c r="K11" i="11"/>
  <c r="G11" i="11"/>
  <c r="L45" i="11" s="1"/>
  <c r="M21" i="11"/>
  <c r="Q21" i="11" s="1"/>
  <c r="M22" i="11"/>
  <c r="Q22" i="11" s="1"/>
  <c r="M25" i="11"/>
  <c r="Q25" i="11" s="1"/>
  <c r="G25" i="11"/>
  <c r="M23" i="11"/>
  <c r="Q23" i="11" s="1"/>
  <c r="G23" i="11"/>
  <c r="M19" i="11"/>
  <c r="Q19" i="11" s="1"/>
  <c r="O51" i="11"/>
  <c r="M11" i="11"/>
  <c r="Q11" i="11" s="1"/>
  <c r="M13" i="11"/>
  <c r="Q13" i="11" s="1"/>
  <c r="M26" i="11"/>
  <c r="Q26" i="11" s="1"/>
  <c r="G26" i="11"/>
  <c r="M24" i="11"/>
  <c r="Q24" i="11" s="1"/>
  <c r="G24" i="11"/>
  <c r="F73" i="7"/>
  <c r="F68" i="7"/>
  <c r="F63" i="7"/>
  <c r="D38" i="7"/>
  <c r="C38" i="7"/>
  <c r="R22" i="11" l="1"/>
  <c r="L49" i="11"/>
  <c r="L46" i="11"/>
  <c r="L44" i="11"/>
  <c r="R14" i="11"/>
  <c r="P45" i="11"/>
  <c r="P46" i="11" s="1"/>
  <c r="M46" i="11"/>
  <c r="L51" i="11"/>
  <c r="P50" i="11"/>
  <c r="P51" i="11" s="1"/>
  <c r="R26" i="11"/>
  <c r="M51" i="11"/>
  <c r="C19" i="7"/>
  <c r="R51" i="11" l="1"/>
  <c r="R46" i="11"/>
  <c r="S46" i="11" s="1"/>
  <c r="H13" i="1"/>
  <c r="G13" i="1"/>
  <c r="F28" i="1"/>
  <c r="G22" i="1"/>
  <c r="E9" i="1"/>
  <c r="E31" i="1"/>
  <c r="E37" i="1"/>
  <c r="B9" i="1"/>
  <c r="B13" i="1"/>
  <c r="C9" i="1"/>
  <c r="C10" i="1"/>
  <c r="C13" i="1"/>
  <c r="D9" i="1"/>
  <c r="D10" i="1"/>
  <c r="D13" i="1"/>
  <c r="E10" i="1"/>
  <c r="E16" i="1"/>
  <c r="E17" i="1"/>
  <c r="E19" i="1"/>
  <c r="F37" i="1"/>
  <c r="C22" i="1"/>
  <c r="C14" i="1"/>
  <c r="C26" i="1"/>
  <c r="D5" i="5"/>
  <c r="C40" i="1"/>
  <c r="D6" i="5"/>
  <c r="C41" i="1"/>
  <c r="D7" i="5"/>
  <c r="C42" i="1"/>
  <c r="D8" i="5"/>
  <c r="C43" i="1"/>
  <c r="D9" i="5"/>
  <c r="C23" i="1"/>
  <c r="C24" i="1"/>
  <c r="C27" i="1"/>
  <c r="C28" i="1"/>
  <c r="C47" i="1"/>
  <c r="C48" i="1"/>
  <c r="C49" i="1"/>
  <c r="C25" i="1"/>
  <c r="C44" i="1"/>
  <c r="B22" i="1"/>
  <c r="B14" i="1"/>
  <c r="B26" i="1"/>
  <c r="B5" i="5"/>
  <c r="B40" i="1"/>
  <c r="B6" i="5"/>
  <c r="B41" i="1"/>
  <c r="B7" i="5"/>
  <c r="B42" i="1"/>
  <c r="B8" i="5"/>
  <c r="B43" i="1"/>
  <c r="B9" i="5"/>
  <c r="B23" i="1"/>
  <c r="B27" i="1"/>
  <c r="B24" i="1"/>
  <c r="B28" i="1"/>
  <c r="B47" i="1"/>
  <c r="B48" i="1"/>
  <c r="B49" i="1"/>
  <c r="B25" i="1"/>
  <c r="B44" i="1"/>
  <c r="B10" i="5"/>
  <c r="B15" i="5"/>
  <c r="D10" i="5"/>
  <c r="E11" i="5"/>
  <c r="E10" i="5"/>
  <c r="E9" i="5"/>
  <c r="E13" i="5"/>
  <c r="E22" i="1"/>
  <c r="E13" i="1"/>
  <c r="E14" i="1"/>
  <c r="E26" i="1"/>
  <c r="E32" i="1"/>
  <c r="H5" i="5"/>
  <c r="E40" i="1"/>
  <c r="H6" i="5"/>
  <c r="E41" i="1"/>
  <c r="H7" i="5"/>
  <c r="E42" i="1"/>
  <c r="H8" i="5"/>
  <c r="E43" i="1"/>
  <c r="H9" i="5"/>
  <c r="E23" i="1"/>
  <c r="E24" i="1"/>
  <c r="E27" i="1"/>
  <c r="E28" i="1"/>
  <c r="E33" i="1"/>
  <c r="E47" i="1"/>
  <c r="E48" i="1"/>
  <c r="E49" i="1"/>
  <c r="E25" i="1"/>
  <c r="E44" i="1"/>
  <c r="D22" i="1"/>
  <c r="D14" i="1"/>
  <c r="D26" i="1"/>
  <c r="F5" i="5"/>
  <c r="D40" i="1"/>
  <c r="F6" i="5"/>
  <c r="D41" i="1"/>
  <c r="F7" i="5"/>
  <c r="D42" i="1"/>
  <c r="F8" i="5"/>
  <c r="D43" i="1"/>
  <c r="F9" i="5"/>
  <c r="D23" i="1"/>
  <c r="D24" i="1"/>
  <c r="D27" i="1"/>
  <c r="D28" i="1"/>
  <c r="D47" i="1"/>
  <c r="D48" i="1"/>
  <c r="D49" i="1"/>
  <c r="D25" i="1"/>
  <c r="D44" i="1"/>
  <c r="D15" i="5"/>
  <c r="F10" i="5"/>
  <c r="F15" i="5"/>
  <c r="H10" i="5"/>
  <c r="I9" i="5"/>
  <c r="I10" i="5"/>
  <c r="I11" i="5"/>
  <c r="I12" i="5"/>
  <c r="I13" i="5"/>
  <c r="G11" i="5"/>
  <c r="G10" i="5"/>
  <c r="G9" i="5"/>
  <c r="G13" i="5"/>
  <c r="C11" i="5"/>
  <c r="C10" i="5"/>
  <c r="C9" i="5"/>
  <c r="C13" i="5"/>
  <c r="H15" i="5"/>
  <c r="H16" i="5"/>
  <c r="H17" i="5"/>
  <c r="F16" i="5"/>
  <c r="F17" i="5"/>
  <c r="D16" i="5"/>
  <c r="D17" i="5"/>
  <c r="B16" i="5"/>
  <c r="B17" i="5"/>
  <c r="J40" i="1"/>
  <c r="K40" i="1"/>
  <c r="L40" i="1"/>
  <c r="J42" i="1"/>
  <c r="J41" i="1"/>
  <c r="K41" i="1"/>
  <c r="L41" i="1"/>
  <c r="K42" i="1"/>
  <c r="L42" i="1"/>
  <c r="E52" i="1"/>
  <c r="D52" i="1"/>
  <c r="C52" i="1"/>
  <c r="F43" i="1"/>
  <c r="F26" i="1"/>
  <c r="G26" i="1"/>
  <c r="F22" i="1"/>
  <c r="E53" i="1"/>
  <c r="C53" i="1"/>
  <c r="C54" i="1"/>
  <c r="D53" i="1"/>
  <c r="D54" i="1"/>
  <c r="E54" i="1"/>
  <c r="B52" i="1"/>
  <c r="B53" i="1"/>
  <c r="B54" i="1"/>
  <c r="C15" i="5"/>
  <c r="E15" i="5"/>
  <c r="G15" i="5"/>
  <c r="I15" i="5"/>
  <c r="B1" i="4"/>
  <c r="F41" i="1"/>
  <c r="G41" i="1"/>
  <c r="H41" i="1"/>
  <c r="F42" i="1"/>
  <c r="G42" i="1"/>
  <c r="H42" i="1"/>
  <c r="F40" i="1"/>
  <c r="G40" i="1"/>
  <c r="H40" i="1"/>
  <c r="F4" i="2"/>
  <c r="F5" i="2"/>
  <c r="F6" i="2"/>
  <c r="F7" i="2"/>
  <c r="F8" i="2"/>
  <c r="F3" i="2"/>
  <c r="E12" i="2"/>
  <c r="E10" i="2"/>
  <c r="E8" i="2"/>
  <c r="E7" i="2"/>
  <c r="E6" i="2"/>
  <c r="E5" i="2"/>
  <c r="E4" i="2"/>
  <c r="E3" i="2"/>
  <c r="E36" i="1"/>
  <c r="C18" i="1"/>
  <c r="D18" i="1"/>
  <c r="E18" i="1"/>
  <c r="B19" i="1"/>
  <c r="B18" i="1"/>
  <c r="B17" i="1"/>
  <c r="B16" i="1"/>
  <c r="B5" i="1"/>
  <c r="C16" i="1"/>
  <c r="C17" i="1"/>
  <c r="C19" i="1"/>
  <c r="D16" i="1"/>
  <c r="D17" i="1"/>
  <c r="D19" i="1"/>
</calcChain>
</file>

<file path=xl/comments1.xml><?xml version="1.0" encoding="utf-8"?>
<comments xmlns="http://schemas.openxmlformats.org/spreadsheetml/2006/main">
  <authors>
    <author>Norbert Kohlheb</author>
  </authors>
  <commentList>
    <comment ref="A47" authorId="0">
      <text>
        <r>
          <rPr>
            <b/>
            <sz val="9"/>
            <color indexed="81"/>
            <rFont val="Tahoma"/>
            <family val="2"/>
          </rPr>
          <t>Norbert Kohlheb:</t>
        </r>
        <r>
          <rPr>
            <sz val="9"/>
            <color indexed="81"/>
            <rFont val="Tahoma"/>
            <family val="2"/>
          </rPr>
          <t xml:space="preserve">
dry saturated vapour</t>
        </r>
      </text>
    </comment>
  </commentList>
</comments>
</file>

<file path=xl/comments2.xml><?xml version="1.0" encoding="utf-8"?>
<comments xmlns="http://schemas.openxmlformats.org/spreadsheetml/2006/main">
  <authors>
    <author>Norbert Kohlheb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>Norbert Kohlheb:</t>
        </r>
        <r>
          <rPr>
            <sz val="9"/>
            <color indexed="81"/>
            <rFont val="Tahoma"/>
            <charset val="1"/>
          </rPr>
          <t xml:space="preserve">
Data taken from 
Aromaten_9_Uspcaled_Cont_14Oct2019_v2.spf</t>
        </r>
      </text>
    </comment>
    <comment ref="N1" authorId="0">
      <text>
        <r>
          <rPr>
            <b/>
            <sz val="9"/>
            <color indexed="81"/>
            <rFont val="Tahoma"/>
            <charset val="1"/>
          </rPr>
          <t>Norbert Kohlheb:</t>
        </r>
        <r>
          <rPr>
            <sz val="9"/>
            <color indexed="81"/>
            <rFont val="Tahoma"/>
            <charset val="1"/>
          </rPr>
          <t xml:space="preserve">
Data taken from
yeast scenario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Norbert Kohlheb:</t>
        </r>
        <r>
          <rPr>
            <sz val="9"/>
            <color indexed="81"/>
            <rFont val="Tahoma"/>
            <family val="2"/>
          </rPr>
          <t xml:space="preserve">
dry saturated vapour</t>
        </r>
      </text>
    </comment>
  </commentList>
</comments>
</file>

<file path=xl/comments3.xml><?xml version="1.0" encoding="utf-8"?>
<comments xmlns="http://schemas.openxmlformats.org/spreadsheetml/2006/main">
  <authors>
    <author>Norbert Kohlheb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Norbert Kohlheb:</t>
        </r>
        <r>
          <rPr>
            <sz val="9"/>
            <color indexed="81"/>
            <rFont val="Tahoma"/>
            <family val="2"/>
          </rPr>
          <t xml:space="preserve">
Origlia et al. 2003</t>
        </r>
      </text>
    </comment>
    <comment ref="C23" authorId="0">
      <text>
        <r>
          <rPr>
            <b/>
            <sz val="9"/>
            <color indexed="81"/>
            <rFont val="Tahoma"/>
            <charset val="1"/>
          </rPr>
          <t>Norbert Kohlheb:</t>
        </r>
        <r>
          <rPr>
            <sz val="9"/>
            <color indexed="81"/>
            <rFont val="Tahoma"/>
            <charset val="1"/>
          </rPr>
          <t xml:space="preserve">
pHBA chemical systhesis V3</t>
        </r>
      </text>
    </comment>
    <comment ref="A52" authorId="0">
      <text>
        <r>
          <rPr>
            <b/>
            <sz val="9"/>
            <color indexed="81"/>
            <rFont val="Tahoma"/>
            <family val="2"/>
          </rPr>
          <t>Norbert Kohlheb:</t>
        </r>
        <r>
          <rPr>
            <sz val="9"/>
            <color indexed="81"/>
            <rFont val="Tahoma"/>
            <family val="2"/>
          </rPr>
          <t xml:space="preserve">
dry saturated vapour</t>
        </r>
      </text>
    </comment>
  </commentList>
</comments>
</file>

<file path=xl/comments4.xml><?xml version="1.0" encoding="utf-8"?>
<comments xmlns="http://schemas.openxmlformats.org/spreadsheetml/2006/main">
  <authors>
    <author>Norbert Kohlheb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Norbert Kohlheb:</t>
        </r>
        <r>
          <rPr>
            <sz val="9"/>
            <color indexed="81"/>
            <rFont val="Tahoma"/>
            <charset val="1"/>
          </rPr>
          <t xml:space="preserve">
Data taken from 
Aromaten_9_Uspcaled_Cont_14Oct2019_v2.spf</t>
        </r>
      </text>
    </comment>
  </commentList>
</comments>
</file>

<file path=xl/sharedStrings.xml><?xml version="1.0" encoding="utf-8"?>
<sst xmlns="http://schemas.openxmlformats.org/spreadsheetml/2006/main" count="1171" uniqueCount="384">
  <si>
    <t>Biomass production coefficient, kg/kg substrate</t>
  </si>
  <si>
    <t>Product production coefficient, kg/kg substrate</t>
  </si>
  <si>
    <t>Efficiency of approaching theoretical coefficient, %</t>
  </si>
  <si>
    <t>Real production coefficient, kg/kg substrate</t>
  </si>
  <si>
    <t>Reactor sizes, L</t>
  </si>
  <si>
    <t>Allowed filling level, %</t>
  </si>
  <si>
    <t>Target cell concentration for biomass production, g/L</t>
  </si>
  <si>
    <t>Initial cell concentration for biomass production, g/L</t>
  </si>
  <si>
    <t>Growth doubling time, h</t>
  </si>
  <si>
    <t>Total substrate needed for target biomass concentration, kg</t>
  </si>
  <si>
    <t>Total biomass produced, kg</t>
  </si>
  <si>
    <t>Used volume of reactor, L</t>
  </si>
  <si>
    <t>Time required for biomass production, h</t>
  </si>
  <si>
    <t>Rate of concentration change, g/L</t>
  </si>
  <si>
    <t>ln(rate of concentration change)</t>
  </si>
  <si>
    <t>nü(max)</t>
  </si>
  <si>
    <t>Allowed concentration of start substrate, %</t>
  </si>
  <si>
    <t>Substrate at the start of batch, kg</t>
  </si>
  <si>
    <t>Water content of 50% solution, kg</t>
  </si>
  <si>
    <t>Added water, kg</t>
  </si>
  <si>
    <t>Density of 2% substrate solution, kg/L</t>
  </si>
  <si>
    <t>Density of 50% substrate solution, kg/L</t>
  </si>
  <si>
    <t>Density of solution without substrate, kg/L</t>
  </si>
  <si>
    <t>Substrate needed for product production, kg</t>
  </si>
  <si>
    <t>Target product concentration, g/L</t>
  </si>
  <si>
    <t>Total amount of 50% solution in fed-batch, kg</t>
  </si>
  <si>
    <t>Total amount of 50% solution at start, kg</t>
  </si>
  <si>
    <t>Time required for product production, h</t>
  </si>
  <si>
    <t>Product production rate, g/L*h</t>
  </si>
  <si>
    <t>Product production rate, g/g biomass/h</t>
  </si>
  <si>
    <t>Total product produced, kg/batch</t>
  </si>
  <si>
    <t>NaH2PO4</t>
  </si>
  <si>
    <t>(NH4)2SO4</t>
  </si>
  <si>
    <t>Ca(OH)2</t>
  </si>
  <si>
    <t>Stock (10x)</t>
  </si>
  <si>
    <t>M [g/mol]</t>
  </si>
  <si>
    <t>demand mol/L</t>
  </si>
  <si>
    <t>g/L</t>
  </si>
  <si>
    <t>mol/L in Biomasse</t>
  </si>
  <si>
    <t>Biomass composition</t>
  </si>
  <si>
    <t>C</t>
  </si>
  <si>
    <t>H</t>
  </si>
  <si>
    <t>O</t>
  </si>
  <si>
    <t>N</t>
  </si>
  <si>
    <t>S</t>
  </si>
  <si>
    <t>P</t>
  </si>
  <si>
    <t>c-mol/L</t>
  </si>
  <si>
    <t>g/c-mol</t>
  </si>
  <si>
    <t>US$/kg</t>
  </si>
  <si>
    <t>Fresh Water</t>
  </si>
  <si>
    <t>Waste Water</t>
  </si>
  <si>
    <t>Sucrose</t>
  </si>
  <si>
    <t>0.588 /0.246</t>
  </si>
  <si>
    <t>Electricity *</t>
  </si>
  <si>
    <t>PHBA Marktwert</t>
  </si>
  <si>
    <t>Salts, g/batch</t>
  </si>
  <si>
    <t>Total salt, kg</t>
  </si>
  <si>
    <t>Total solution, kg</t>
  </si>
  <si>
    <t>Total water, kg</t>
  </si>
  <si>
    <t>Air</t>
  </si>
  <si>
    <t>Argon</t>
  </si>
  <si>
    <t>CO2</t>
  </si>
  <si>
    <t>N2</t>
  </si>
  <si>
    <t>O2</t>
  </si>
  <si>
    <t>Materials</t>
  </si>
  <si>
    <t>Water</t>
  </si>
  <si>
    <t>Biomass</t>
  </si>
  <si>
    <t>PHBA</t>
  </si>
  <si>
    <t>Sum</t>
  </si>
  <si>
    <t>Seed reactor 1</t>
  </si>
  <si>
    <t>Seed reactor 2</t>
  </si>
  <si>
    <t>Seed reactor 3</t>
  </si>
  <si>
    <t>Product reactor</t>
  </si>
  <si>
    <t>Input</t>
  </si>
  <si>
    <t>Output</t>
  </si>
  <si>
    <t>Fed-batch substrate added for biomass growth, kg</t>
  </si>
  <si>
    <t>10x solution, L</t>
  </si>
  <si>
    <t>Control of reactor volume</t>
  </si>
  <si>
    <t>Broth</t>
  </si>
  <si>
    <t>Volume of reactors</t>
  </si>
  <si>
    <t>NH4Cl</t>
  </si>
  <si>
    <t>Density, kg/m3</t>
  </si>
  <si>
    <r>
      <t>(NH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</si>
  <si>
    <r>
      <t>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Cl</t>
    </r>
  </si>
  <si>
    <t>Flow of inventory</t>
  </si>
  <si>
    <t>amount</t>
  </si>
  <si>
    <t>Infrastructure</t>
  </si>
  <si>
    <t>seed reactor 1</t>
  </si>
  <si>
    <t>seed reactor 2</t>
  </si>
  <si>
    <t>seed reactor 3</t>
  </si>
  <si>
    <t>Reactors</t>
  </si>
  <si>
    <t>fermenter</t>
  </si>
  <si>
    <t>Storage containers</t>
  </si>
  <si>
    <t>Substrate</t>
  </si>
  <si>
    <t>NH4SO4</t>
  </si>
  <si>
    <t>Broth storage</t>
  </si>
  <si>
    <t>Material flows</t>
  </si>
  <si>
    <t>CaOH</t>
  </si>
  <si>
    <t>HNO3, 70%</t>
  </si>
  <si>
    <t>kg/batch</t>
  </si>
  <si>
    <t>Substrate, sucrose</t>
  </si>
  <si>
    <t>material in fermentation section</t>
  </si>
  <si>
    <t>material in DSP section</t>
  </si>
  <si>
    <t>NaOH for CIP</t>
  </si>
  <si>
    <t>H3PO4 for CIP</t>
  </si>
  <si>
    <t>Cooling water</t>
  </si>
  <si>
    <t>Steam</t>
  </si>
  <si>
    <t>Electricity</t>
  </si>
  <si>
    <t>kWh/batch</t>
  </si>
  <si>
    <t>Cooling water input temperature, °C</t>
  </si>
  <si>
    <t>Cooling water output temperature, °C</t>
  </si>
  <si>
    <t>Specific heat of cooling water, kJ/(kg*K)</t>
  </si>
  <si>
    <t>MJ/batch</t>
  </si>
  <si>
    <t>Steam input temperature, °C</t>
  </si>
  <si>
    <t>Sterilizing</t>
  </si>
  <si>
    <t>Wastewater</t>
  </si>
  <si>
    <t>Number of batches per year</t>
  </si>
  <si>
    <t>Total product, kg/batch</t>
  </si>
  <si>
    <t>CML2001 - Jan. 2016, Global Warming Potential (GWP 100 years), excl biogenic carbon</t>
  </si>
  <si>
    <t>kg CO2 eq.</t>
  </si>
  <si>
    <t>Fermentation</t>
  </si>
  <si>
    <t>DSP</t>
  </si>
  <si>
    <t>Ref_sys</t>
  </si>
  <si>
    <t>Flows</t>
  </si>
  <si>
    <t>CML2001 - Jan. 2016, Eutrophication Potential (EP)</t>
  </si>
  <si>
    <t>kg Phosphate eq.</t>
  </si>
  <si>
    <t>CML2001 - Jan. 2016, Acidification Potential (AP)</t>
  </si>
  <si>
    <t>kg SO2 eq.</t>
  </si>
  <si>
    <t>CML2001 - Jan. 2016, Human Toxicity Potential (HTP inf.)</t>
  </si>
  <si>
    <t>kg DCB eq.</t>
  </si>
  <si>
    <t>Total specific, kg/kg</t>
  </si>
  <si>
    <r>
      <t>Entalpy of evaporation (h</t>
    </r>
    <r>
      <rPr>
        <vertAlign val="subscript"/>
        <sz val="11"/>
        <color theme="1"/>
        <rFont val="Calibri"/>
        <family val="2"/>
        <scheme val="minor"/>
      </rPr>
      <t>fg</t>
    </r>
    <r>
      <rPr>
        <sz val="11"/>
        <color theme="1"/>
        <rFont val="Calibri"/>
        <family val="2"/>
        <scheme val="minor"/>
      </rPr>
      <t>), kJ/kg at 152 °C</t>
    </r>
  </si>
  <si>
    <t>Biomass recycling</t>
  </si>
  <si>
    <t>Water recycling</t>
  </si>
  <si>
    <t>Solvent</t>
  </si>
  <si>
    <t>Kolbe-Schmitt reaction</t>
  </si>
  <si>
    <t>125 °C</t>
  </si>
  <si>
    <t>100 bar</t>
  </si>
  <si>
    <t>Heat capacity, kJ/kg*K</t>
  </si>
  <si>
    <t>Molar heat capacity, J/K*mol</t>
  </si>
  <si>
    <t>Sugar for biomass</t>
  </si>
  <si>
    <t>Recycling ratio</t>
  </si>
  <si>
    <t>%</t>
  </si>
  <si>
    <t>Molar weight of CaOH, kg/kmol</t>
  </si>
  <si>
    <t>Conversion efficiency, %</t>
  </si>
  <si>
    <t>dt, 125-20 °C</t>
  </si>
  <si>
    <t>Enthalpy at 125 °C, kJ/kg</t>
  </si>
  <si>
    <t>Product amount, kg/batch</t>
  </si>
  <si>
    <t>Share of batches with biomass recycling, %</t>
  </si>
  <si>
    <t>Molar weight of Na-Fenolate, g/mol</t>
  </si>
  <si>
    <t>Molar weight of CO2, g/mol</t>
  </si>
  <si>
    <t>Amount of CO2, kg/batch</t>
  </si>
  <si>
    <t>Heat needed, MJ/batch</t>
  </si>
  <si>
    <t>INPUTS</t>
  </si>
  <si>
    <t>Molar weight of pHBA, g/mol</t>
  </si>
  <si>
    <t>Product, mol/batch</t>
  </si>
  <si>
    <t>Sodium phenolate needed, mol/mol pHBA</t>
  </si>
  <si>
    <t>Sodium phenolate needed, kg/batch</t>
  </si>
  <si>
    <t>Price</t>
  </si>
  <si>
    <t>$/kg</t>
  </si>
  <si>
    <t>Biomass output per reactor</t>
  </si>
  <si>
    <t>Biomass production coeff</t>
  </si>
  <si>
    <t>pHBA prduced</t>
  </si>
  <si>
    <t>Waste sugar</t>
  </si>
  <si>
    <t>Substrate, sucrose, price change</t>
  </si>
  <si>
    <t>NaH2PO4, price change</t>
  </si>
  <si>
    <t>NH4Cl, price change</t>
  </si>
  <si>
    <t>(NH4)2SO4, price change</t>
  </si>
  <si>
    <t>H3PO4, 2%</t>
  </si>
  <si>
    <t>NaOH</t>
  </si>
  <si>
    <t>Base scenario</t>
  </si>
  <si>
    <t>without pH regulation</t>
  </si>
  <si>
    <t>Given in the model made by Rafael</t>
  </si>
  <si>
    <t>Substrat_beet</t>
  </si>
  <si>
    <t>Substrat_cane</t>
  </si>
  <si>
    <t>Biomass_recycling</t>
  </si>
  <si>
    <t>Water_recycling</t>
  </si>
  <si>
    <t>MJ</t>
  </si>
  <si>
    <t>Cane sugar</t>
  </si>
  <si>
    <t xml:space="preserve">Beet sugar </t>
  </si>
  <si>
    <t>Acidic process</t>
  </si>
  <si>
    <t>Ref flow</t>
  </si>
  <si>
    <t>Ref system</t>
  </si>
  <si>
    <t>Sum with beet</t>
  </si>
  <si>
    <t>Sum with cane</t>
  </si>
  <si>
    <t>EP</t>
  </si>
  <si>
    <t>AP</t>
  </si>
  <si>
    <t>HTP</t>
  </si>
  <si>
    <t>PED</t>
  </si>
  <si>
    <t>DSP same as in bioprocess</t>
  </si>
  <si>
    <t>ortho-hydroxy benzic acid</t>
  </si>
  <si>
    <t>H2SO4, kg/batch</t>
  </si>
  <si>
    <t>Molar weight of H2SO4, g/mol</t>
  </si>
  <si>
    <t>Molar weight of Na2SO4, g/mol</t>
  </si>
  <si>
    <t>Molar weight of KOH, g/mol</t>
  </si>
  <si>
    <t>KOH, kg/batch</t>
  </si>
  <si>
    <t>K2SO4, kg/batch</t>
  </si>
  <si>
    <t>Best case</t>
  </si>
  <si>
    <t>Best case upscaled</t>
  </si>
  <si>
    <t>Scenario</t>
  </si>
  <si>
    <t>Base case</t>
  </si>
  <si>
    <t>Seed 1</t>
  </si>
  <si>
    <t>Seed 2</t>
  </si>
  <si>
    <t>Seed 3</t>
  </si>
  <si>
    <t>Product</t>
  </si>
  <si>
    <t>Yeast process</t>
  </si>
  <si>
    <t>Biomass recycled</t>
  </si>
  <si>
    <t>pHBA</t>
  </si>
  <si>
    <t>Biomass conversion rate</t>
  </si>
  <si>
    <t>Product conversion rate</t>
  </si>
  <si>
    <t>Used for biomass</t>
  </si>
  <si>
    <t>L</t>
  </si>
  <si>
    <t>Biomass, g/L</t>
  </si>
  <si>
    <t>Biomass, kg/batch</t>
  </si>
  <si>
    <t>Normal</t>
  </si>
  <si>
    <t>Upscaled</t>
  </si>
  <si>
    <t>Substrate reduction due to biomass recycling in seed reactors, %</t>
  </si>
  <si>
    <t>Yeast</t>
  </si>
  <si>
    <t>H sucrose, kJ/Cmol</t>
  </si>
  <si>
    <t>H biomass, kJ/Cmol</t>
  </si>
  <si>
    <t>H pHBA, kJ/Cmol</t>
  </si>
  <si>
    <t>kJ/Cmol</t>
  </si>
  <si>
    <t>kJ/mol</t>
  </si>
  <si>
    <t>kJ/kg</t>
  </si>
  <si>
    <t>g/mol</t>
  </si>
  <si>
    <t>substrat</t>
  </si>
  <si>
    <t>biomass</t>
  </si>
  <si>
    <t>product</t>
  </si>
  <si>
    <t>INPUT</t>
  </si>
  <si>
    <t>OUTPUT</t>
  </si>
  <si>
    <t>Change in entalpy</t>
  </si>
  <si>
    <t>kJ</t>
  </si>
  <si>
    <t>in reactor, kJ</t>
  </si>
  <si>
    <t>Heat equation</t>
  </si>
  <si>
    <t>→</t>
  </si>
  <si>
    <t>Heat generation in seed reactors</t>
  </si>
  <si>
    <t>Heat generation in production reactor</t>
  </si>
  <si>
    <t>Indicators</t>
  </si>
  <si>
    <t>GWP, kg CO2-equiv.</t>
  </si>
  <si>
    <t>EP, kg PO4-equiv.</t>
  </si>
  <si>
    <t>AP, kg SO4-equiv.</t>
  </si>
  <si>
    <t>HTP, kg DCB-equiv.</t>
  </si>
  <si>
    <t>kg</t>
  </si>
  <si>
    <t>ΔH, kJ/kg</t>
  </si>
  <si>
    <t>sucrose_recycling für biomasse</t>
  </si>
  <si>
    <t>sucrose für biomasse</t>
  </si>
  <si>
    <t>Reference system</t>
  </si>
  <si>
    <t>Amm. Sulfate</t>
  </si>
  <si>
    <t>Ammonium Chlori</t>
  </si>
  <si>
    <t>Ca Hydroxide</t>
  </si>
  <si>
    <t>H3PO4 (2%)</t>
  </si>
  <si>
    <t>HNO3 (70%)</t>
  </si>
  <si>
    <t>NaOH (0.5 M)</t>
  </si>
  <si>
    <t>TOTAL</t>
  </si>
  <si>
    <t>kg/kg MP</t>
  </si>
  <si>
    <t>OVERALL COMPONENT BALANCE (kg/batch)</t>
  </si>
  <si>
    <t>IN-OUT</t>
  </si>
  <si>
    <t>- 4,886.37</t>
  </si>
  <si>
    <t>- 9,472.73</t>
  </si>
  <si>
    <t>- 23,555.12</t>
  </si>
  <si>
    <t>- 0.00</t>
  </si>
  <si>
    <t>- 374.96</t>
  </si>
  <si>
    <t>- 15,572.18</t>
  </si>
  <si>
    <t>- 276.72</t>
  </si>
  <si>
    <t>- 2,111.69</t>
  </si>
  <si>
    <t>Calcium Nitrate</t>
  </si>
  <si>
    <t>Carb. Dioxide</t>
  </si>
  <si>
    <t>Nitric Acid</t>
  </si>
  <si>
    <t>Nitrogen</t>
  </si>
  <si>
    <t>Oxygen</t>
  </si>
  <si>
    <t>pHBA (aq)</t>
  </si>
  <si>
    <t>pHBA (solid)</t>
  </si>
  <si>
    <t>pHBA Salt</t>
  </si>
  <si>
    <t>Phosphoric Acid</t>
  </si>
  <si>
    <t>Sodium Hydroxid</t>
  </si>
  <si>
    <t>- 3.84</t>
  </si>
  <si>
    <t>- 5,064.31</t>
  </si>
  <si>
    <t>- 24,409.37</t>
  </si>
  <si>
    <t>- 326.04</t>
  </si>
  <si>
    <t>- 87.47</t>
  </si>
  <si>
    <t>- 1,251.27</t>
  </si>
  <si>
    <t>- 15,524.60</t>
  </si>
  <si>
    <t>- 24,431.85</t>
  </si>
  <si>
    <t>- 47,363.65</t>
  </si>
  <si>
    <t>- 117,775.60</t>
  </si>
  <si>
    <t>- 1,874.80</t>
  </si>
  <si>
    <t>- 77,860.88</t>
  </si>
  <si>
    <t>- 1,383.60</t>
  </si>
  <si>
    <t>- 10,558.46</t>
  </si>
  <si>
    <t>base</t>
  </si>
  <si>
    <t>yeast</t>
  </si>
  <si>
    <t>CML2001 - Jan. 2016, Abiotic Depletion (ADP elements)</t>
  </si>
  <si>
    <t>kg Sb eq.</t>
  </si>
  <si>
    <t>Best_case</t>
  </si>
  <si>
    <t>Best_case_upscaled</t>
  </si>
  <si>
    <t>CML2001 - Jan. 2016, Abiotic Depletion (ADP fossil)</t>
  </si>
  <si>
    <t>ADP fossil</t>
  </si>
  <si>
    <t>ADP element</t>
  </si>
  <si>
    <t>CML2001 - Jan. 2016, Freshwater Aquatic Ecotoxicity Pot. (FAETP inf.)</t>
  </si>
  <si>
    <t>Freshwater toxiticity potential</t>
  </si>
  <si>
    <t>GWP exl. biogen CO2</t>
  </si>
  <si>
    <t>CML2001 - Jan. 2016, Marine Aquatic Ecotoxicity Pot. (MAETP inf.)</t>
  </si>
  <si>
    <t>CML2001 - Jan. 2016, Ozone Layer Depletion Potential (ODP, steady state)</t>
  </si>
  <si>
    <t>kg R11 eq.</t>
  </si>
  <si>
    <t>CML2001 - Jan. 2016, Photochem. Ozone Creation Potential (POCP)</t>
  </si>
  <si>
    <t>kg Ethene eq.</t>
  </si>
  <si>
    <t>CML2001 - Jan. 2016, Terrestric Ecotoxicity Potential (TETP inf.)</t>
  </si>
  <si>
    <t>Marine Ecotoxicity Potential</t>
  </si>
  <si>
    <t>ODP</t>
  </si>
  <si>
    <t>POCP</t>
  </si>
  <si>
    <t>Terrestric Ecotoxicity Potential</t>
  </si>
  <si>
    <t>Abiotic depletion elements, kg Sb eq.</t>
  </si>
  <si>
    <t>Abiotic depletion fossil, MJ</t>
  </si>
  <si>
    <t>Freshwater Aquatic Ecotoxicity Pot., kg DCB eq.</t>
  </si>
  <si>
    <t>Marine Aquatic Ecotoxicity Pot., kg DCB eq.</t>
  </si>
  <si>
    <t>ODP, kg R11 eq.</t>
  </si>
  <si>
    <t>Photochem. Ozone Creation Potential, kg Ethene eq.</t>
  </si>
  <si>
    <t>Terrestric Ecotoxicity Potential, kg DCB eq.</t>
  </si>
  <si>
    <t>Max</t>
  </si>
  <si>
    <t>best upscaled</t>
  </si>
  <si>
    <t>yeast best upscaled</t>
  </si>
  <si>
    <t>Yeast best case upscaled</t>
  </si>
  <si>
    <t>Yeast-based process</t>
  </si>
  <si>
    <t>Yeast best upscaled</t>
  </si>
  <si>
    <t>- 19.21</t>
  </si>
  <si>
    <t>- 25,321.47</t>
  </si>
  <si>
    <t>- 122,046.49</t>
  </si>
  <si>
    <t>- 1,630.18</t>
  </si>
  <si>
    <t>- 437.34</t>
  </si>
  <si>
    <t>- 6,256.31</t>
  </si>
  <si>
    <t>- 77,622.79</t>
  </si>
  <si>
    <t>Yeast-based</t>
  </si>
  <si>
    <t>Yeast_best_case_upscaled</t>
  </si>
  <si>
    <t>Bacteria_best_case_upscaled_beet</t>
  </si>
  <si>
    <t>Yeast_best_case_upscaled_beet</t>
  </si>
  <si>
    <t>Base case bacterial</t>
  </si>
  <si>
    <t>Base case bacterial with biomass recycling</t>
  </si>
  <si>
    <t>Base case bacterial with water recycling</t>
  </si>
  <si>
    <t>Base case yeast</t>
  </si>
  <si>
    <t>Upscaled yeast best case with beet sugar</t>
  </si>
  <si>
    <t>Upscaled bacterial best case with beet sugar</t>
  </si>
  <si>
    <t>Bacterial best case with biomass and water recycling and cane sugar</t>
  </si>
  <si>
    <t>Upscaled bacterial best case with cane sugar</t>
  </si>
  <si>
    <t>Upscaled yeast best case with cane sugar</t>
  </si>
  <si>
    <t>Environmental impacts</t>
  </si>
  <si>
    <t>Unit production cost, $/kg</t>
  </si>
  <si>
    <t>Labour costs, $/hr</t>
  </si>
  <si>
    <t>Basic rate, $/h</t>
  </si>
  <si>
    <t>Economic impacts</t>
  </si>
  <si>
    <t>Source of substrate</t>
  </si>
  <si>
    <t>Labour costs, $/hour</t>
  </si>
  <si>
    <t>Sucrose, kg/batch</t>
  </si>
  <si>
    <t>NaH2PO4, kg/batch</t>
  </si>
  <si>
    <t>(NH4)2SO4, kg/batch</t>
  </si>
  <si>
    <t>NH4Cl, kg/batch</t>
  </si>
  <si>
    <t>Ca(OH)2, kg/batch</t>
  </si>
  <si>
    <t>HNO3, 70%, , kg/batch</t>
  </si>
  <si>
    <t>H3PO4 for CIP, kg/batch</t>
  </si>
  <si>
    <t>NaOH for CIP, kg/batch</t>
  </si>
  <si>
    <t>Water, kg/batch</t>
  </si>
  <si>
    <t>Wastewater, kg/batch</t>
  </si>
  <si>
    <t>Energy for cooling, MJ/batch</t>
  </si>
  <si>
    <t>Heat for sterilizing, MJ/batch</t>
  </si>
  <si>
    <t>Electricity, MJ/batch</t>
  </si>
  <si>
    <t>Cultivation</t>
  </si>
  <si>
    <t>Down-strem processing</t>
  </si>
  <si>
    <t>Sodium phenolate</t>
  </si>
  <si>
    <t>Beet sugar</t>
  </si>
  <si>
    <t>Sodium phenolate, kg/batch</t>
  </si>
  <si>
    <t>CO2, kg/batch</t>
  </si>
  <si>
    <t>Carb. Dioxide, kg/batch</t>
  </si>
  <si>
    <t>HCl (37% w/w), kg/batch</t>
  </si>
  <si>
    <t>KOH Solution, kg/batch</t>
  </si>
  <si>
    <t>Phenol, kg/batch</t>
  </si>
  <si>
    <t>Cooling water, kg/batch</t>
  </si>
  <si>
    <t>NaCl Brine, kg/batch</t>
  </si>
  <si>
    <t>Steam, kg/batch</t>
  </si>
  <si>
    <t>Steam, high pressure, kg/batch</t>
  </si>
  <si>
    <t>Power, kWh/batch</t>
  </si>
  <si>
    <t>Cooling water, MJ/batch</t>
  </si>
  <si>
    <t>Cooling efficiency, %</t>
  </si>
  <si>
    <t>Steam sum, MJ/batch</t>
  </si>
  <si>
    <t>Power, MJ/batch</t>
  </si>
  <si>
    <t>EU-28: Early-stage pHBA UFZ &lt;LC&gt;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</si>
</sst>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3">
    <xf numFmtId="0" fontId="0" fillId="0" borderId="0" xfId="0"/>
    <xf numFmtId="9" fontId="0" fillId="0" borderId="0" xfId="0" applyNumberFormat="1"/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0" fillId="0" borderId="0" xfId="0" applyFill="1"/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9" fontId="5" fillId="0" borderId="0" xfId="0" applyNumberFormat="1" applyFont="1"/>
    <xf numFmtId="3" fontId="5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0" fontId="0" fillId="0" borderId="0" xfId="0" applyFont="1" applyBorder="1"/>
    <xf numFmtId="0" fontId="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13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4" fillId="0" borderId="1" xfId="0" applyFont="1" applyBorder="1"/>
    <xf numFmtId="4" fontId="0" fillId="2" borderId="1" xfId="0" applyNumberFormat="1" applyFill="1" applyBorder="1"/>
    <xf numFmtId="2" fontId="0" fillId="2" borderId="1" xfId="0" applyNumberFormat="1" applyFill="1" applyBorder="1"/>
    <xf numFmtId="2" fontId="4" fillId="2" borderId="1" xfId="0" applyNumberFormat="1" applyFont="1" applyFill="1" applyBorder="1"/>
    <xf numFmtId="4" fontId="4" fillId="2" borderId="1" xfId="0" applyNumberFormat="1" applyFont="1" applyFill="1" applyBorder="1"/>
    <xf numFmtId="0" fontId="4" fillId="2" borderId="1" xfId="0" applyFont="1" applyFill="1" applyBorder="1"/>
    <xf numFmtId="2" fontId="4" fillId="0" borderId="1" xfId="0" applyNumberFormat="1" applyFont="1" applyBorder="1"/>
    <xf numFmtId="4" fontId="10" fillId="2" borderId="1" xfId="0" applyNumberFormat="1" applyFont="1" applyFill="1" applyBorder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1" fontId="0" fillId="0" borderId="0" xfId="0" applyNumberFormat="1"/>
    <xf numFmtId="0" fontId="4" fillId="0" borderId="1" xfId="0" applyFont="1" applyFill="1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56887831791618E-2"/>
          <c:y val="2.6270378351428585E-2"/>
          <c:w val="0.90249557313113371"/>
          <c:h val="0.64536312421361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'Result summary'!$O$20</c:f>
              <c:strCache>
                <c:ptCount val="1"/>
                <c:pt idx="0">
                  <c:v>Environmental impacts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'Result summary'!$P$19:$Y$19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summary'!$P$20:$Y$20</c:f>
              <c:numCache>
                <c:formatCode>General</c:formatCode>
                <c:ptCount val="10"/>
                <c:pt idx="0">
                  <c:v>10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strRef>
              <c:f>'Result summary'!$O$21</c:f>
              <c:strCache>
                <c:ptCount val="1"/>
                <c:pt idx="0">
                  <c:v>Economic impacts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'Result summary'!$P$19:$Y$19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summary'!$P$21:$Y$21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71648"/>
        <c:axId val="95773440"/>
      </c:barChart>
      <c:catAx>
        <c:axId val="9577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95773440"/>
        <c:crosses val="autoZero"/>
        <c:auto val="1"/>
        <c:lblAlgn val="ctr"/>
        <c:lblOffset val="100"/>
        <c:noMultiLvlLbl val="0"/>
      </c:catAx>
      <c:valAx>
        <c:axId val="9577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771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645646375270835"/>
          <c:y val="3.1964478391442355E-2"/>
          <c:w val="0.21671060903787329"/>
          <c:h val="9.354238108990012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 summary'!$O$3</c:f>
              <c:strCache>
                <c:ptCount val="1"/>
                <c:pt idx="0">
                  <c:v>Unit production cost, $/kg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summary'!$P$3:$Y$3</c:f>
              <c:numCache>
                <c:formatCode>General</c:formatCode>
                <c:ptCount val="10"/>
                <c:pt idx="0">
                  <c:v>0.76793119336507443</c:v>
                </c:pt>
                <c:pt idx="1">
                  <c:v>1</c:v>
                </c:pt>
                <c:pt idx="2">
                  <c:v>0.94120718783596979</c:v>
                </c:pt>
                <c:pt idx="3">
                  <c:v>0.99542313008754413</c:v>
                </c:pt>
                <c:pt idx="4">
                  <c:v>0.78301336200276461</c:v>
                </c:pt>
                <c:pt idx="5">
                  <c:v>0.6167101827676239</c:v>
                </c:pt>
                <c:pt idx="6">
                  <c:v>0.64764245123636921</c:v>
                </c:pt>
                <c:pt idx="7">
                  <c:v>0.8144985409307326</c:v>
                </c:pt>
                <c:pt idx="8">
                  <c:v>0.49537705421594225</c:v>
                </c:pt>
                <c:pt idx="9">
                  <c:v>0.52090308708339728</c:v>
                </c:pt>
              </c:numCache>
            </c:numRef>
          </c:val>
        </c:ser>
        <c:ser>
          <c:idx val="1"/>
          <c:order val="1"/>
          <c:tx>
            <c:strRef>
              <c:f>'Result summary'!$O$4</c:f>
              <c:strCache>
                <c:ptCount val="1"/>
                <c:pt idx="0">
                  <c:v>Abiotic depletion elements, kg Sb eq.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summary'!$P$4:$Y$4</c:f>
              <c:numCache>
                <c:formatCode>General</c:formatCode>
                <c:ptCount val="10"/>
                <c:pt idx="0">
                  <c:v>0.35088049721922643</c:v>
                </c:pt>
                <c:pt idx="1">
                  <c:v>0.97926553322146537</c:v>
                </c:pt>
                <c:pt idx="2">
                  <c:v>0.93328154659852891</c:v>
                </c:pt>
                <c:pt idx="3">
                  <c:v>0.97979254716961861</c:v>
                </c:pt>
                <c:pt idx="4">
                  <c:v>0.91833589424444517</c:v>
                </c:pt>
                <c:pt idx="5">
                  <c:v>0.93239221201956657</c:v>
                </c:pt>
                <c:pt idx="6">
                  <c:v>0.95100932344235301</c:v>
                </c:pt>
                <c:pt idx="7">
                  <c:v>1</c:v>
                </c:pt>
                <c:pt idx="8">
                  <c:v>0.95069149914265449</c:v>
                </c:pt>
                <c:pt idx="9">
                  <c:v>0.96644722270711547</c:v>
                </c:pt>
              </c:numCache>
            </c:numRef>
          </c:val>
        </c:ser>
        <c:ser>
          <c:idx val="2"/>
          <c:order val="2"/>
          <c:tx>
            <c:strRef>
              <c:f>'Result summary'!$O$5</c:f>
              <c:strCache>
                <c:ptCount val="1"/>
                <c:pt idx="0">
                  <c:v>Abiotic depletion fossil, MJ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summary'!$P$5:$Y$5</c:f>
              <c:numCache>
                <c:formatCode>General</c:formatCode>
                <c:ptCount val="10"/>
                <c:pt idx="0">
                  <c:v>1.3216273697946865</c:v>
                </c:pt>
                <c:pt idx="1">
                  <c:v>0.99699230249469217</c:v>
                </c:pt>
                <c:pt idx="2">
                  <c:v>0.90194264391053958</c:v>
                </c:pt>
                <c:pt idx="3">
                  <c:v>1</c:v>
                </c:pt>
                <c:pt idx="4">
                  <c:v>0.57651747971849798</c:v>
                </c:pt>
                <c:pt idx="5">
                  <c:v>0.58534182204198137</c:v>
                </c:pt>
                <c:pt idx="6">
                  <c:v>0.91904478504514175</c:v>
                </c:pt>
                <c:pt idx="7">
                  <c:v>0.96877250330875575</c:v>
                </c:pt>
                <c:pt idx="8">
                  <c:v>0.54335368018483021</c:v>
                </c:pt>
                <c:pt idx="9">
                  <c:v>0.87530691856476672</c:v>
                </c:pt>
              </c:numCache>
            </c:numRef>
          </c:val>
        </c:ser>
        <c:ser>
          <c:idx val="3"/>
          <c:order val="3"/>
          <c:tx>
            <c:strRef>
              <c:f>'Result summary'!$O$6</c:f>
              <c:strCache>
                <c:ptCount val="1"/>
                <c:pt idx="0">
                  <c:v>AP, kg SO4-equiv.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summary'!$P$6:$Y$6</c:f>
              <c:numCache>
                <c:formatCode>General</c:formatCode>
                <c:ptCount val="10"/>
                <c:pt idx="0">
                  <c:v>0.54203147216938208</c:v>
                </c:pt>
                <c:pt idx="1">
                  <c:v>0.63684502713578961</c:v>
                </c:pt>
                <c:pt idx="2">
                  <c:v>0.54856081243218213</c:v>
                </c:pt>
                <c:pt idx="3">
                  <c:v>0.63753616965661808</c:v>
                </c:pt>
                <c:pt idx="4">
                  <c:v>0.98492445274265095</c:v>
                </c:pt>
                <c:pt idx="5">
                  <c:v>1</c:v>
                </c:pt>
                <c:pt idx="6">
                  <c:v>0.55919235158040104</c:v>
                </c:pt>
                <c:pt idx="7">
                  <c:v>0.63790754381092263</c:v>
                </c:pt>
                <c:pt idx="8">
                  <c:v>0.99682496309031143</c:v>
                </c:pt>
                <c:pt idx="9">
                  <c:v>0.55268206294932565</c:v>
                </c:pt>
              </c:numCache>
            </c:numRef>
          </c:val>
        </c:ser>
        <c:ser>
          <c:idx val="4"/>
          <c:order val="4"/>
          <c:tx>
            <c:strRef>
              <c:f>'Result summary'!$O$7</c:f>
              <c:strCache>
                <c:ptCount val="1"/>
                <c:pt idx="0">
                  <c:v>EP, kg PO4-equiv.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summary'!$P$7:$Y$7</c:f>
              <c:numCache>
                <c:formatCode>General</c:formatCode>
                <c:ptCount val="10"/>
                <c:pt idx="0">
                  <c:v>0.35549257285261981</c:v>
                </c:pt>
                <c:pt idx="1">
                  <c:v>0.35839905809673778</c:v>
                </c:pt>
                <c:pt idx="2">
                  <c:v>0.27238231478680508</c:v>
                </c:pt>
                <c:pt idx="3">
                  <c:v>0.35537290937457328</c:v>
                </c:pt>
                <c:pt idx="4">
                  <c:v>0.98492441315734069</c:v>
                </c:pt>
                <c:pt idx="5">
                  <c:v>1</c:v>
                </c:pt>
                <c:pt idx="6">
                  <c:v>0.27430883032915138</c:v>
                </c:pt>
                <c:pt idx="7">
                  <c:v>0.34069855016671136</c:v>
                </c:pt>
                <c:pt idx="8">
                  <c:v>0.98326590524070723</c:v>
                </c:pt>
                <c:pt idx="9">
                  <c:v>0.25410040047020188</c:v>
                </c:pt>
              </c:numCache>
            </c:numRef>
          </c:val>
        </c:ser>
        <c:ser>
          <c:idx val="5"/>
          <c:order val="5"/>
          <c:tx>
            <c:strRef>
              <c:f>'Result summary'!$O$8</c:f>
              <c:strCache>
                <c:ptCount val="1"/>
                <c:pt idx="0">
                  <c:v>Freshwater Aquatic Ecotoxicity Pot., kg DCB eq.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summary'!$P$8:$Y$8</c:f>
              <c:numCache>
                <c:formatCode>General</c:formatCode>
                <c:ptCount val="10"/>
                <c:pt idx="0">
                  <c:v>2.231236334390529</c:v>
                </c:pt>
                <c:pt idx="1">
                  <c:v>0.97405969180548335</c:v>
                </c:pt>
                <c:pt idx="2">
                  <c:v>0.74447329983252342</c:v>
                </c:pt>
                <c:pt idx="3">
                  <c:v>0.97335195171990274</c:v>
                </c:pt>
                <c:pt idx="4">
                  <c:v>0.75269660429864649</c:v>
                </c:pt>
                <c:pt idx="5">
                  <c:v>0.76421691995643581</c:v>
                </c:pt>
                <c:pt idx="6">
                  <c:v>0.75748036644133876</c:v>
                </c:pt>
                <c:pt idx="7">
                  <c:v>1</c:v>
                </c:pt>
                <c:pt idx="8">
                  <c:v>0.77828672588186898</c:v>
                </c:pt>
                <c:pt idx="9">
                  <c:v>0.76917969420975152</c:v>
                </c:pt>
              </c:numCache>
            </c:numRef>
          </c:val>
        </c:ser>
        <c:ser>
          <c:idx val="6"/>
          <c:order val="6"/>
          <c:tx>
            <c:strRef>
              <c:f>'Result summary'!$O$9</c:f>
              <c:strCache>
                <c:ptCount val="1"/>
                <c:pt idx="0">
                  <c:v>GWP, kg CO2-equiv.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summary'!$P$9:$Y$9</c:f>
              <c:numCache>
                <c:formatCode>General</c:formatCode>
                <c:ptCount val="10"/>
                <c:pt idx="0">
                  <c:v>0.76297984926635065</c:v>
                </c:pt>
                <c:pt idx="1">
                  <c:v>0.9988759104854843</c:v>
                </c:pt>
                <c:pt idx="2">
                  <c:v>0.8981399439456772</c:v>
                </c:pt>
                <c:pt idx="3">
                  <c:v>1</c:v>
                </c:pt>
                <c:pt idx="4">
                  <c:v>0.67937352736225087</c:v>
                </c:pt>
                <c:pt idx="5">
                  <c:v>0.68977222967347762</c:v>
                </c:pt>
                <c:pt idx="6">
                  <c:v>0.91406790319424125</c:v>
                </c:pt>
                <c:pt idx="7">
                  <c:v>0.92216796700139647</c:v>
                </c:pt>
                <c:pt idx="8">
                  <c:v>0.60023080305439314</c:v>
                </c:pt>
                <c:pt idx="9">
                  <c:v>0.82238868575393897</c:v>
                </c:pt>
              </c:numCache>
            </c:numRef>
          </c:val>
        </c:ser>
        <c:ser>
          <c:idx val="7"/>
          <c:order val="7"/>
          <c:tx>
            <c:strRef>
              <c:f>'Result summary'!$O$10</c:f>
              <c:strCache>
                <c:ptCount val="1"/>
                <c:pt idx="0">
                  <c:v>HTP, kg DCB-equiv.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summary'!$P$10:$Y$10</c:f>
              <c:numCache>
                <c:formatCode>General</c:formatCode>
                <c:ptCount val="10"/>
                <c:pt idx="0">
                  <c:v>0.35568342611610987</c:v>
                </c:pt>
                <c:pt idx="1">
                  <c:v>0.23870141978296436</c:v>
                </c:pt>
                <c:pt idx="2">
                  <c:v>0.19848291601389262</c:v>
                </c:pt>
                <c:pt idx="3">
                  <c:v>0.2388174152994027</c:v>
                </c:pt>
                <c:pt idx="4">
                  <c:v>0.98156331435490773</c:v>
                </c:pt>
                <c:pt idx="5">
                  <c:v>0.9965874659840146</c:v>
                </c:pt>
                <c:pt idx="6">
                  <c:v>0.20213800241057567</c:v>
                </c:pt>
                <c:pt idx="7">
                  <c:v>0.24238438944360427</c:v>
                </c:pt>
                <c:pt idx="8">
                  <c:v>1</c:v>
                </c:pt>
                <c:pt idx="9">
                  <c:v>0.2021087949117597</c:v>
                </c:pt>
              </c:numCache>
            </c:numRef>
          </c:val>
        </c:ser>
        <c:ser>
          <c:idx val="8"/>
          <c:order val="8"/>
          <c:tx>
            <c:strRef>
              <c:f>'Result summary'!$O$11</c:f>
              <c:strCache>
                <c:ptCount val="1"/>
                <c:pt idx="0">
                  <c:v>Marine Aquatic Ecotoxicity Pot., kg DCB eq.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summary'!$P$11:$Y$11</c:f>
              <c:numCache>
                <c:formatCode>General</c:formatCode>
                <c:ptCount val="10"/>
                <c:pt idx="0">
                  <c:v>2.2390499721948753</c:v>
                </c:pt>
                <c:pt idx="1">
                  <c:v>0.97940733737770413</c:v>
                </c:pt>
                <c:pt idx="2">
                  <c:v>0.75292541169185401</c:v>
                </c:pt>
                <c:pt idx="3">
                  <c:v>0.97890924788710865</c:v>
                </c:pt>
                <c:pt idx="4">
                  <c:v>0.75114794331001422</c:v>
                </c:pt>
                <c:pt idx="5">
                  <c:v>0.76264477289073129</c:v>
                </c:pt>
                <c:pt idx="6">
                  <c:v>0.76631622320910553</c:v>
                </c:pt>
                <c:pt idx="7">
                  <c:v>1</c:v>
                </c:pt>
                <c:pt idx="8">
                  <c:v>0.77063659879129487</c:v>
                </c:pt>
                <c:pt idx="9">
                  <c:v>0.7719345933045676</c:v>
                </c:pt>
              </c:numCache>
            </c:numRef>
          </c:val>
        </c:ser>
        <c:ser>
          <c:idx val="9"/>
          <c:order val="9"/>
          <c:tx>
            <c:strRef>
              <c:f>'Result summary'!$O$12</c:f>
              <c:strCache>
                <c:ptCount val="1"/>
                <c:pt idx="0">
                  <c:v>ODP, kg R11 eq.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summary'!$P$12:$Y$12</c:f>
              <c:numCache>
                <c:formatCode>General</c:formatCode>
                <c:ptCount val="10"/>
                <c:pt idx="0">
                  <c:v>0.66991676742800144</c:v>
                </c:pt>
                <c:pt idx="1">
                  <c:v>0.96726139337819372</c:v>
                </c:pt>
                <c:pt idx="2">
                  <c:v>0.83512476068798425</c:v>
                </c:pt>
                <c:pt idx="3">
                  <c:v>0.96726137640094123</c:v>
                </c:pt>
                <c:pt idx="4">
                  <c:v>0.83511659886569989</c:v>
                </c:pt>
                <c:pt idx="5">
                  <c:v>0.8478991670867505</c:v>
                </c:pt>
                <c:pt idx="6">
                  <c:v>0.85050838399445972</c:v>
                </c:pt>
                <c:pt idx="7">
                  <c:v>1</c:v>
                </c:pt>
                <c:pt idx="8">
                  <c:v>0.86588817679738839</c:v>
                </c:pt>
                <c:pt idx="9">
                  <c:v>0.86589647554505356</c:v>
                </c:pt>
              </c:numCache>
            </c:numRef>
          </c:val>
        </c:ser>
        <c:ser>
          <c:idx val="10"/>
          <c:order val="10"/>
          <c:tx>
            <c:strRef>
              <c:f>'Result summary'!$O$13</c:f>
              <c:strCache>
                <c:ptCount val="1"/>
                <c:pt idx="0">
                  <c:v>Photochem. Ozone Creation Potential, kg Ethene eq.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summary'!$P$13:$Y$13</c:f>
              <c:numCache>
                <c:formatCode>General</c:formatCode>
                <c:ptCount val="10"/>
                <c:pt idx="0">
                  <c:v>0.29637495783001588</c:v>
                </c:pt>
                <c:pt idx="1">
                  <c:v>0.27762848060505541</c:v>
                </c:pt>
                <c:pt idx="2">
                  <c:v>0.24816896115799747</c:v>
                </c:pt>
                <c:pt idx="3">
                  <c:v>0.27798621015611813</c:v>
                </c:pt>
                <c:pt idx="4">
                  <c:v>0.98424028306193634</c:v>
                </c:pt>
                <c:pt idx="5">
                  <c:v>0.99930543653255777</c:v>
                </c:pt>
                <c:pt idx="6">
                  <c:v>0.25289575161459404</c:v>
                </c:pt>
                <c:pt idx="7">
                  <c:v>0.27906331716346611</c:v>
                </c:pt>
                <c:pt idx="8">
                  <c:v>1</c:v>
                </c:pt>
                <c:pt idx="9">
                  <c:v>0.25015718544107629</c:v>
                </c:pt>
              </c:numCache>
            </c:numRef>
          </c:val>
        </c:ser>
        <c:ser>
          <c:idx val="11"/>
          <c:order val="11"/>
          <c:tx>
            <c:strRef>
              <c:f>'Result summary'!$O$14</c:f>
              <c:strCache>
                <c:ptCount val="1"/>
                <c:pt idx="0">
                  <c:v>Terrestric Ecotoxicity Potential, kg DCB eq.</c:v>
                </c:pt>
              </c:strCache>
            </c:strRef>
          </c:tx>
          <c:invertIfNegative val="0"/>
          <c:cat>
            <c:strRef>
              <c:f>'Result summary'!$P$2:$Y$2</c:f>
              <c:strCache>
                <c:ptCount val="10"/>
                <c:pt idx="0">
                  <c:v>Reference system</c:v>
                </c:pt>
                <c:pt idx="1">
                  <c:v>Base case bacterial</c:v>
                </c:pt>
                <c:pt idx="2">
                  <c:v>Base case bacterial with biomass recycling</c:v>
                </c:pt>
                <c:pt idx="3">
                  <c:v>Base case bacterial with water recycling</c:v>
                </c:pt>
                <c:pt idx="4">
                  <c:v>Bacterial best case with biomass and water recycling and cane sugar</c:v>
                </c:pt>
                <c:pt idx="5">
                  <c:v>Upscaled bacterial best case with cane sugar</c:v>
                </c:pt>
                <c:pt idx="6">
                  <c:v>Upscaled bacterial best case with beet sugar</c:v>
                </c:pt>
                <c:pt idx="7">
                  <c:v>Base case yeast</c:v>
                </c:pt>
                <c:pt idx="8">
                  <c:v>Upscaled yeast best case with cane sugar</c:v>
                </c:pt>
                <c:pt idx="9">
                  <c:v>Upscaled yeast best case with beet sugar</c:v>
                </c:pt>
              </c:strCache>
            </c:strRef>
          </c:cat>
          <c:val>
            <c:numRef>
              <c:f>'Result summary'!$P$14:$Y$14</c:f>
              <c:numCache>
                <c:formatCode>General</c:formatCode>
                <c:ptCount val="10"/>
                <c:pt idx="0">
                  <c:v>0.3094742704037054</c:v>
                </c:pt>
                <c:pt idx="1">
                  <c:v>0.99816252880595546</c:v>
                </c:pt>
                <c:pt idx="2">
                  <c:v>0.80418163712630431</c:v>
                </c:pt>
                <c:pt idx="3">
                  <c:v>0.99790782028282898</c:v>
                </c:pt>
                <c:pt idx="4">
                  <c:v>0.3042157909969655</c:v>
                </c:pt>
                <c:pt idx="5">
                  <c:v>0.30887219418277939</c:v>
                </c:pt>
                <c:pt idx="6">
                  <c:v>0.81903094213058725</c:v>
                </c:pt>
                <c:pt idx="7">
                  <c:v>1</c:v>
                </c:pt>
                <c:pt idx="8">
                  <c:v>0.30583453999513488</c:v>
                </c:pt>
                <c:pt idx="9">
                  <c:v>0.81498421937119503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232576"/>
        <c:axId val="96234112"/>
      </c:barChart>
      <c:catAx>
        <c:axId val="96232576"/>
        <c:scaling>
          <c:orientation val="minMax"/>
        </c:scaling>
        <c:delete val="0"/>
        <c:axPos val="b"/>
        <c:majorTickMark val="out"/>
        <c:minorTickMark val="none"/>
        <c:tickLblPos val="nextTo"/>
        <c:crossAx val="96234112"/>
        <c:crosses val="autoZero"/>
        <c:auto val="1"/>
        <c:lblAlgn val="ctr"/>
        <c:lblOffset val="100"/>
        <c:noMultiLvlLbl val="0"/>
      </c:catAx>
      <c:valAx>
        <c:axId val="9623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23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006920710669569"/>
          <c:y val="0.13900290602349696"/>
          <c:w val="0.33886578758442509"/>
          <c:h val="0.55445496040495867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en.wikipedia.org/wiki/File:Kolbe-Schmitt.pn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29</xdr:col>
      <xdr:colOff>617049</xdr:colOff>
      <xdr:row>52</xdr:row>
      <xdr:rowOff>8615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2450" y="3048000"/>
          <a:ext cx="16619049" cy="7285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10</xdr:col>
      <xdr:colOff>190500</xdr:colOff>
      <xdr:row>6</xdr:row>
      <xdr:rowOff>9525</xdr:rowOff>
    </xdr:to>
    <xdr:pic>
      <xdr:nvPicPr>
        <xdr:cNvPr id="2" name="Grafik 1" descr="The Kolbe–Schmitt reaction">
          <a:hlinkClick xmlns:r="http://schemas.openxmlformats.org/officeDocument/2006/relationships" r:id="rId1" tooltip="The Kolbe–Schmitt reacti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90500"/>
          <a:ext cx="47625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285749</xdr:colOff>
      <xdr:row>23</xdr:row>
      <xdr:rowOff>176212</xdr:rowOff>
    </xdr:from>
    <xdr:to>
      <xdr:col>21</xdr:col>
      <xdr:colOff>428625</xdr:colOff>
      <xdr:row>49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714373</xdr:colOff>
      <xdr:row>24</xdr:row>
      <xdr:rowOff>23811</xdr:rowOff>
    </xdr:from>
    <xdr:to>
      <xdr:col>32</xdr:col>
      <xdr:colOff>104774</xdr:colOff>
      <xdr:row>59</xdr:row>
      <xdr:rowOff>66675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0.65945</cdr:x>
      <cdr:y>0.69482</cdr:y>
    </cdr:from>
    <cdr:to>
      <cdr:x>0.91344</cdr:x>
      <cdr:y>0.89638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514977" y="4662488"/>
          <a:ext cx="2124075" cy="1352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050" u="sng"/>
            <a:t>Abbrevations</a:t>
          </a:r>
          <a:r>
            <a:rPr lang="de-DE" sz="1050"/>
            <a:t>:</a:t>
          </a:r>
        </a:p>
        <a:p xmlns:a="http://schemas.openxmlformats.org/drawingml/2006/main">
          <a:r>
            <a:rPr lang="de-DE" sz="1050"/>
            <a:t>DCB - dichlorbenzene</a:t>
          </a:r>
        </a:p>
        <a:p xmlns:a="http://schemas.openxmlformats.org/drawingml/2006/main">
          <a:r>
            <a:rPr lang="de-DE" sz="1050"/>
            <a:t>ODP</a:t>
          </a:r>
          <a:r>
            <a:rPr lang="de-DE" sz="1050" baseline="0"/>
            <a:t> - ozone depletion potential</a:t>
          </a:r>
        </a:p>
        <a:p xmlns:a="http://schemas.openxmlformats.org/drawingml/2006/main">
          <a:r>
            <a:rPr lang="de-DE" sz="1050" baseline="0"/>
            <a:t>HTP - human toxicity potential</a:t>
          </a:r>
        </a:p>
        <a:p xmlns:a="http://schemas.openxmlformats.org/drawingml/2006/main">
          <a:r>
            <a:rPr lang="de-DE" sz="1050"/>
            <a:t>GWP - global warming potential</a:t>
          </a:r>
        </a:p>
        <a:p xmlns:a="http://schemas.openxmlformats.org/drawingml/2006/main">
          <a:r>
            <a:rPr lang="de-DE" sz="1050"/>
            <a:t>EP - eutrophication potential</a:t>
          </a:r>
        </a:p>
        <a:p xmlns:a="http://schemas.openxmlformats.org/drawingml/2006/main">
          <a:r>
            <a:rPr lang="de-DE" sz="1050"/>
            <a:t>AP - acidification potential</a:t>
          </a:r>
        </a:p>
        <a:p xmlns:a="http://schemas.openxmlformats.org/drawingml/2006/main">
          <a:endParaRPr lang="de-DE" sz="105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workbookViewId="0">
      <selection activeCell="D26" sqref="D26"/>
    </sheetView>
  </sheetViews>
  <sheetFormatPr baseColWidth="10" defaultRowHeight="15" x14ac:dyDescent="0.25"/>
  <cols>
    <col min="1" max="1" width="54.42578125" customWidth="1"/>
    <col min="2" max="2" width="11.5703125" bestFit="1" customWidth="1"/>
    <col min="3" max="3" width="12.5703125" bestFit="1" customWidth="1"/>
    <col min="4" max="11" width="13.5703125" customWidth="1"/>
    <col min="13" max="13" width="38.7109375" customWidth="1"/>
    <col min="15" max="15" width="12.42578125" customWidth="1"/>
  </cols>
  <sheetData>
    <row r="2" spans="1:11" x14ac:dyDescent="0.25">
      <c r="A2" t="s">
        <v>0</v>
      </c>
      <c r="B2" s="14">
        <v>0.45</v>
      </c>
    </row>
    <row r="3" spans="1:11" x14ac:dyDescent="0.25">
      <c r="A3" t="s">
        <v>1</v>
      </c>
      <c r="B3" s="14">
        <v>0.57999999999999996</v>
      </c>
    </row>
    <row r="4" spans="1:11" x14ac:dyDescent="0.25">
      <c r="A4" t="s">
        <v>2</v>
      </c>
      <c r="B4" s="15">
        <v>0.9</v>
      </c>
    </row>
    <row r="5" spans="1:11" x14ac:dyDescent="0.25">
      <c r="A5" t="s">
        <v>3</v>
      </c>
      <c r="B5" s="14">
        <f>B3*B4</f>
        <v>0.52200000000000002</v>
      </c>
    </row>
    <row r="7" spans="1:11" x14ac:dyDescent="0.25">
      <c r="A7" t="s">
        <v>4</v>
      </c>
      <c r="B7" s="16">
        <v>200</v>
      </c>
      <c r="C7" s="16">
        <v>5000</v>
      </c>
      <c r="D7" s="16">
        <v>50000</v>
      </c>
      <c r="E7" s="16">
        <v>1000000</v>
      </c>
      <c r="F7" s="2"/>
      <c r="G7" s="2"/>
      <c r="H7" s="2"/>
      <c r="I7" s="2"/>
      <c r="J7" s="2"/>
      <c r="K7" s="2"/>
    </row>
    <row r="8" spans="1:11" x14ac:dyDescent="0.25">
      <c r="A8" t="s">
        <v>5</v>
      </c>
      <c r="B8" s="15">
        <v>0.8</v>
      </c>
      <c r="C8" s="15">
        <v>0.8</v>
      </c>
      <c r="D8" s="15">
        <v>0.8</v>
      </c>
      <c r="E8" s="15">
        <v>0.8</v>
      </c>
      <c r="F8" s="1"/>
      <c r="G8" s="1"/>
      <c r="H8" s="1"/>
      <c r="I8" s="1"/>
      <c r="J8" s="1"/>
      <c r="K8" s="1"/>
    </row>
    <row r="9" spans="1:11" x14ac:dyDescent="0.25">
      <c r="A9" t="s">
        <v>11</v>
      </c>
      <c r="B9" s="2">
        <f>B7*B8</f>
        <v>160</v>
      </c>
      <c r="C9" s="2">
        <f t="shared" ref="C9:E9" si="0">C7*C8</f>
        <v>4000</v>
      </c>
      <c r="D9" s="2">
        <f t="shared" si="0"/>
        <v>40000</v>
      </c>
      <c r="E9" s="2">
        <f t="shared" si="0"/>
        <v>800000</v>
      </c>
      <c r="F9" s="2"/>
      <c r="G9" s="2"/>
      <c r="H9" s="2"/>
      <c r="I9" s="2"/>
      <c r="J9" s="2"/>
      <c r="K9" s="2"/>
    </row>
    <row r="10" spans="1:11" x14ac:dyDescent="0.25">
      <c r="A10" t="s">
        <v>7</v>
      </c>
      <c r="B10" s="17">
        <v>1</v>
      </c>
      <c r="C10" s="4">
        <f>B13*1000/C9</f>
        <v>1.96</v>
      </c>
      <c r="D10" s="4">
        <f t="shared" ref="D10:E10" si="1">C13*1000/D9</f>
        <v>2.8039999999999998</v>
      </c>
      <c r="E10" s="4">
        <f t="shared" si="1"/>
        <v>1.3597999999999999</v>
      </c>
      <c r="F10" s="4"/>
      <c r="G10" s="4"/>
      <c r="H10" s="4"/>
      <c r="I10" s="4"/>
      <c r="J10" s="4"/>
      <c r="K10" s="4"/>
    </row>
    <row r="11" spans="1:11" x14ac:dyDescent="0.25">
      <c r="A11" t="s">
        <v>8</v>
      </c>
      <c r="B11" s="18">
        <v>2.5</v>
      </c>
      <c r="C11" s="18">
        <v>2.5</v>
      </c>
      <c r="D11" s="18">
        <v>2.5</v>
      </c>
      <c r="E11" s="18">
        <v>2.5</v>
      </c>
      <c r="F11" s="3"/>
      <c r="G11" s="3"/>
      <c r="H11" s="3"/>
      <c r="I11" s="3"/>
      <c r="J11" s="3"/>
      <c r="K11" s="3"/>
    </row>
    <row r="12" spans="1:11" x14ac:dyDescent="0.25">
      <c r="A12" t="s">
        <v>6</v>
      </c>
      <c r="B12" s="14">
        <v>50</v>
      </c>
      <c r="C12" s="14">
        <v>30</v>
      </c>
      <c r="D12" s="14">
        <v>30</v>
      </c>
      <c r="E12" s="14">
        <v>30</v>
      </c>
    </row>
    <row r="13" spans="1:11" x14ac:dyDescent="0.25">
      <c r="A13" t="s">
        <v>10</v>
      </c>
      <c r="B13">
        <f>(B12-B10)*B9/1000</f>
        <v>7.84</v>
      </c>
      <c r="C13">
        <f>(C12-C10)*C9/1000</f>
        <v>112.16</v>
      </c>
      <c r="D13">
        <f>(D12-D10)*D9/1000</f>
        <v>1087.8399999999999</v>
      </c>
      <c r="E13">
        <f>(E12-E10)*E9/1000</f>
        <v>22912.16</v>
      </c>
      <c r="G13">
        <f>SUM(B13:E13)</f>
        <v>24120</v>
      </c>
      <c r="H13">
        <f>G13*0.99</f>
        <v>23878.799999999999</v>
      </c>
    </row>
    <row r="14" spans="1:11" x14ac:dyDescent="0.25">
      <c r="A14" t="s">
        <v>9</v>
      </c>
      <c r="B14" s="5">
        <f>B13/$B$2</f>
        <v>17.422222222222221</v>
      </c>
      <c r="C14" s="5">
        <f t="shared" ref="C14:E14" si="2">C13/$B$2</f>
        <v>249.24444444444444</v>
      </c>
      <c r="D14" s="5">
        <f t="shared" si="2"/>
        <v>2417.422222222222</v>
      </c>
      <c r="E14" s="5">
        <f t="shared" si="2"/>
        <v>50915.911111111112</v>
      </c>
      <c r="F14" s="5"/>
      <c r="G14" s="5"/>
      <c r="H14" s="5"/>
      <c r="I14" s="5"/>
      <c r="J14" s="5"/>
      <c r="K14" s="5"/>
    </row>
    <row r="16" spans="1:11" x14ac:dyDescent="0.25">
      <c r="A16" t="s">
        <v>13</v>
      </c>
      <c r="B16" s="5">
        <f>B12/B10</f>
        <v>50</v>
      </c>
      <c r="C16" s="5">
        <f t="shared" ref="C16:E16" si="3">C12/C10</f>
        <v>15.306122448979592</v>
      </c>
      <c r="D16" s="5">
        <f t="shared" si="3"/>
        <v>10.699001426533524</v>
      </c>
      <c r="E16" s="5">
        <f t="shared" si="3"/>
        <v>22.06206795116929</v>
      </c>
      <c r="F16" s="5"/>
      <c r="G16" s="5"/>
      <c r="H16" s="5"/>
      <c r="I16" s="5"/>
      <c r="J16" s="5"/>
      <c r="K16" s="5"/>
    </row>
    <row r="17" spans="1:14" x14ac:dyDescent="0.25">
      <c r="A17" t="s">
        <v>14</v>
      </c>
      <c r="B17" s="5">
        <f>LN(B16)</f>
        <v>3.912023005428146</v>
      </c>
      <c r="C17" s="5">
        <f t="shared" ref="C17:E17" si="4">LN(C16)</f>
        <v>2.7282529084197296</v>
      </c>
      <c r="D17" s="5">
        <f t="shared" si="4"/>
        <v>2.3701504124898118</v>
      </c>
      <c r="E17" s="5">
        <f t="shared" si="4"/>
        <v>3.0938597515519333</v>
      </c>
      <c r="F17" s="5"/>
      <c r="G17" s="5"/>
      <c r="H17" s="5"/>
      <c r="I17" s="5"/>
      <c r="J17" s="5"/>
      <c r="K17" s="5"/>
    </row>
    <row r="18" spans="1:14" x14ac:dyDescent="0.25">
      <c r="A18" t="s">
        <v>15</v>
      </c>
      <c r="B18" s="5">
        <f>LN(2)/B11</f>
        <v>0.2772588722239781</v>
      </c>
      <c r="C18" s="5">
        <f t="shared" ref="C18:E18" si="5">LN(2)/C11</f>
        <v>0.2772588722239781</v>
      </c>
      <c r="D18" s="5">
        <f t="shared" si="5"/>
        <v>0.2772588722239781</v>
      </c>
      <c r="E18" s="5">
        <f t="shared" si="5"/>
        <v>0.2772588722239781</v>
      </c>
      <c r="F18" s="5"/>
      <c r="G18" s="5"/>
      <c r="H18" s="5"/>
      <c r="I18" s="5"/>
      <c r="J18" s="5"/>
      <c r="K18" s="5"/>
    </row>
    <row r="19" spans="1:14" x14ac:dyDescent="0.25">
      <c r="A19" s="12" t="s">
        <v>12</v>
      </c>
      <c r="B19" s="11">
        <f>B17/B18</f>
        <v>14.109640474436812</v>
      </c>
      <c r="C19" s="11">
        <f t="shared" ref="C19:E19" si="6">C17/C18</f>
        <v>9.840092353170089</v>
      </c>
      <c r="D19" s="11">
        <f t="shared" si="6"/>
        <v>8.548510615649958</v>
      </c>
      <c r="E19" s="11">
        <f t="shared" si="6"/>
        <v>11.158740301924837</v>
      </c>
      <c r="F19" s="6"/>
      <c r="G19" s="6"/>
      <c r="H19" s="6"/>
      <c r="I19" s="6"/>
      <c r="J19" s="6"/>
      <c r="K19" s="6"/>
    </row>
    <row r="21" spans="1:14" x14ac:dyDescent="0.25">
      <c r="A21" t="s">
        <v>16</v>
      </c>
      <c r="B21" s="15">
        <v>0.02</v>
      </c>
      <c r="C21" s="15">
        <v>0.02</v>
      </c>
      <c r="D21" s="15">
        <v>0.02</v>
      </c>
      <c r="E21" s="15">
        <v>0.02</v>
      </c>
      <c r="F21" s="1"/>
      <c r="G21" s="1"/>
      <c r="H21" s="1"/>
      <c r="I21" s="1"/>
      <c r="J21" s="1"/>
      <c r="K21" s="1"/>
      <c r="M21" t="s">
        <v>20</v>
      </c>
      <c r="N21">
        <v>1.02</v>
      </c>
    </row>
    <row r="22" spans="1:14" x14ac:dyDescent="0.25">
      <c r="A22" t="s">
        <v>17</v>
      </c>
      <c r="B22">
        <f>B9*B21</f>
        <v>3.2</v>
      </c>
      <c r="C22">
        <f t="shared" ref="C22:E22" si="7">C9*C21</f>
        <v>80</v>
      </c>
      <c r="D22">
        <f t="shared" si="7"/>
        <v>800</v>
      </c>
      <c r="E22">
        <f t="shared" si="7"/>
        <v>16000</v>
      </c>
      <c r="F22" s="12">
        <f>SUM(B22:E22)</f>
        <v>16883.2</v>
      </c>
      <c r="G22">
        <f>E22+E23</f>
        <v>32000</v>
      </c>
      <c r="M22" t="s">
        <v>21</v>
      </c>
      <c r="N22">
        <v>1.2</v>
      </c>
    </row>
    <row r="23" spans="1:14" x14ac:dyDescent="0.25">
      <c r="A23" t="s">
        <v>18</v>
      </c>
      <c r="B23">
        <f>B22</f>
        <v>3.2</v>
      </c>
      <c r="C23">
        <f t="shared" ref="C23:E23" si="8">C22</f>
        <v>80</v>
      </c>
      <c r="D23">
        <f t="shared" si="8"/>
        <v>800</v>
      </c>
      <c r="E23">
        <f t="shared" si="8"/>
        <v>16000</v>
      </c>
      <c r="M23" t="s">
        <v>22</v>
      </c>
      <c r="N23">
        <v>1</v>
      </c>
    </row>
    <row r="24" spans="1:14" x14ac:dyDescent="0.25">
      <c r="A24" t="s">
        <v>26</v>
      </c>
      <c r="B24" s="5">
        <f>B22+B23</f>
        <v>6.4</v>
      </c>
      <c r="C24" s="5">
        <f t="shared" ref="C24" si="9">C22+C23</f>
        <v>160</v>
      </c>
      <c r="D24" s="5">
        <f t="shared" ref="D24" si="10">D22+D23</f>
        <v>1600</v>
      </c>
      <c r="E24" s="5">
        <f t="shared" ref="E24" si="11">E22+E23</f>
        <v>32000</v>
      </c>
      <c r="F24" s="5"/>
      <c r="G24" s="5"/>
      <c r="H24" s="5"/>
      <c r="I24" s="5"/>
      <c r="J24" s="5"/>
      <c r="K24" s="5"/>
    </row>
    <row r="25" spans="1:14" x14ac:dyDescent="0.25">
      <c r="A25" t="s">
        <v>19</v>
      </c>
      <c r="B25" s="13">
        <f>(B9-(B24+B28)/$N$22-(B47+B48+B49))*$N$23</f>
        <v>82.962962962962962</v>
      </c>
      <c r="C25" s="13">
        <f>(C9-(C24+C28)/$N$22-(C47+C48+C49))*$N$23-B9</f>
        <v>2224.5925925925926</v>
      </c>
      <c r="D25" s="13">
        <f>(D9-(D24+D28)/$N$22-(D47+D48+D49))*$N$23-C9</f>
        <v>19970.962962962964</v>
      </c>
      <c r="E25" s="13">
        <f>(E9-(E24+E28+E32+E33)/$N$22-(E47+E48+E49))*$N$23-D9</f>
        <v>179712.30651340995</v>
      </c>
      <c r="F25" s="4"/>
      <c r="G25" s="4"/>
      <c r="H25" s="4"/>
      <c r="I25" s="4"/>
      <c r="J25" s="4"/>
      <c r="K25" s="4"/>
    </row>
    <row r="26" spans="1:14" x14ac:dyDescent="0.25">
      <c r="A26" t="s">
        <v>75</v>
      </c>
      <c r="B26" s="5">
        <f>B14-B22</f>
        <v>14.222222222222221</v>
      </c>
      <c r="C26" s="5">
        <f t="shared" ref="C26:E26" si="12">C14-C22</f>
        <v>169.24444444444444</v>
      </c>
      <c r="D26" s="5">
        <f t="shared" si="12"/>
        <v>1617.422222222222</v>
      </c>
      <c r="E26" s="5">
        <f t="shared" si="12"/>
        <v>34915.911111111112</v>
      </c>
      <c r="F26" s="11">
        <f>SUM(B26:E26)</f>
        <v>36716.800000000003</v>
      </c>
      <c r="G26" s="11">
        <f>F26+E32</f>
        <v>189973.50498084293</v>
      </c>
      <c r="H26" s="5"/>
      <c r="I26" s="5"/>
      <c r="J26" s="5"/>
      <c r="K26" s="5"/>
    </row>
    <row r="27" spans="1:14" x14ac:dyDescent="0.25">
      <c r="A27" t="s">
        <v>18</v>
      </c>
      <c r="B27" s="5">
        <f>B26</f>
        <v>14.222222222222221</v>
      </c>
      <c r="C27" s="5">
        <f t="shared" ref="C27:E27" si="13">C26</f>
        <v>169.24444444444444</v>
      </c>
      <c r="D27" s="5">
        <f t="shared" si="13"/>
        <v>1617.422222222222</v>
      </c>
      <c r="E27" s="5">
        <f t="shared" si="13"/>
        <v>34915.911111111112</v>
      </c>
      <c r="F27" s="5"/>
      <c r="G27" s="5"/>
      <c r="H27" s="5"/>
      <c r="I27" s="5"/>
      <c r="J27" s="5"/>
      <c r="K27" s="5"/>
    </row>
    <row r="28" spans="1:14" x14ac:dyDescent="0.25">
      <c r="A28" t="s">
        <v>25</v>
      </c>
      <c r="B28" s="5">
        <f>B26+B27</f>
        <v>28.444444444444443</v>
      </c>
      <c r="C28" s="5">
        <f t="shared" ref="C28:E28" si="14">C26+C27</f>
        <v>338.48888888888888</v>
      </c>
      <c r="D28" s="5">
        <f t="shared" si="14"/>
        <v>3234.844444444444</v>
      </c>
      <c r="E28" s="5">
        <f t="shared" si="14"/>
        <v>69831.822222222225</v>
      </c>
      <c r="F28" s="5">
        <f>E28+E32+E33</f>
        <v>376345.23218390805</v>
      </c>
      <c r="G28" s="5"/>
      <c r="H28" s="5"/>
      <c r="I28" s="5"/>
      <c r="J28" s="5"/>
      <c r="K28" s="5"/>
    </row>
    <row r="30" spans="1:14" x14ac:dyDescent="0.25">
      <c r="A30" t="s">
        <v>24</v>
      </c>
      <c r="E30" s="14">
        <v>100</v>
      </c>
    </row>
    <row r="31" spans="1:14" x14ac:dyDescent="0.25">
      <c r="A31" t="s">
        <v>30</v>
      </c>
      <c r="E31">
        <f>E30*E9/1000</f>
        <v>80000</v>
      </c>
    </row>
    <row r="32" spans="1:14" x14ac:dyDescent="0.25">
      <c r="A32" t="s">
        <v>23</v>
      </c>
      <c r="E32">
        <f>E31/B5</f>
        <v>153256.70498084291</v>
      </c>
    </row>
    <row r="33" spans="1:12" x14ac:dyDescent="0.25">
      <c r="A33" t="s">
        <v>18</v>
      </c>
      <c r="E33">
        <f>E32</f>
        <v>153256.70498084291</v>
      </c>
    </row>
    <row r="35" spans="1:12" x14ac:dyDescent="0.25">
      <c r="A35" t="s">
        <v>28</v>
      </c>
      <c r="E35" s="14">
        <v>4</v>
      </c>
    </row>
    <row r="36" spans="1:12" x14ac:dyDescent="0.25">
      <c r="A36" t="s">
        <v>29</v>
      </c>
      <c r="E36" s="4">
        <f>E35/E12</f>
        <v>0.13333333333333333</v>
      </c>
      <c r="F36" s="4"/>
      <c r="G36" s="4"/>
      <c r="H36" s="4"/>
      <c r="I36" s="4"/>
      <c r="J36" s="4"/>
      <c r="K36" s="4"/>
    </row>
    <row r="37" spans="1:12" x14ac:dyDescent="0.25">
      <c r="A37" s="12" t="s">
        <v>27</v>
      </c>
      <c r="E37" s="13">
        <f>E31/(E36*E12*E9/1000)</f>
        <v>25</v>
      </c>
      <c r="F37" s="13">
        <f>E37+E19</f>
        <v>36.158740301924837</v>
      </c>
      <c r="G37" s="4"/>
      <c r="H37" s="4"/>
      <c r="I37" s="4"/>
      <c r="J37" s="4"/>
      <c r="K37" s="4"/>
    </row>
    <row r="38" spans="1:12" x14ac:dyDescent="0.25">
      <c r="L38" t="s">
        <v>34</v>
      </c>
    </row>
    <row r="39" spans="1:12" x14ac:dyDescent="0.25">
      <c r="A39" t="s">
        <v>55</v>
      </c>
      <c r="F39" t="s">
        <v>56</v>
      </c>
      <c r="G39" t="s">
        <v>57</v>
      </c>
      <c r="H39" t="s">
        <v>58</v>
      </c>
      <c r="I39" t="s">
        <v>35</v>
      </c>
      <c r="J39" t="s">
        <v>36</v>
      </c>
      <c r="K39" t="s">
        <v>37</v>
      </c>
      <c r="L39" t="s">
        <v>37</v>
      </c>
    </row>
    <row r="40" spans="1:12" x14ac:dyDescent="0.25">
      <c r="A40" t="s">
        <v>31</v>
      </c>
      <c r="B40" s="5">
        <f t="shared" ref="B40:E43" si="15">$K40*B$9</f>
        <v>539.00332225913621</v>
      </c>
      <c r="C40" s="5">
        <f t="shared" si="15"/>
        <v>13475.083056478405</v>
      </c>
      <c r="D40" s="5">
        <f t="shared" si="15"/>
        <v>134750.83056478403</v>
      </c>
      <c r="E40" s="5">
        <f t="shared" si="15"/>
        <v>2695016.611295681</v>
      </c>
      <c r="F40" s="11">
        <f>SUM(B40:E40)/1000</f>
        <v>2843.7815282392025</v>
      </c>
      <c r="G40" s="5">
        <f>F40*1000/L40</f>
        <v>84416</v>
      </c>
      <c r="H40" s="11">
        <f>G40-F40</f>
        <v>81572.218471760803</v>
      </c>
      <c r="I40">
        <v>141.96</v>
      </c>
      <c r="J40">
        <f>Salts!F8</f>
        <v>2.3730422401518743E-2</v>
      </c>
      <c r="K40">
        <f>J40*I40</f>
        <v>3.368770764119601</v>
      </c>
      <c r="L40">
        <f>10*K40</f>
        <v>33.687707641196013</v>
      </c>
    </row>
    <row r="41" spans="1:12" x14ac:dyDescent="0.25">
      <c r="A41" t="s">
        <v>80</v>
      </c>
      <c r="B41" s="5">
        <f t="shared" si="15"/>
        <v>1990.362790697674</v>
      </c>
      <c r="C41" s="5">
        <f t="shared" si="15"/>
        <v>49759.069767441848</v>
      </c>
      <c r="D41" s="5">
        <f t="shared" si="15"/>
        <v>497590.69767441851</v>
      </c>
      <c r="E41" s="5">
        <f t="shared" si="15"/>
        <v>9951813.9534883704</v>
      </c>
      <c r="F41" s="11">
        <f>SUM(B41:E41)/1000</f>
        <v>10501.154083720929</v>
      </c>
      <c r="G41" s="5">
        <f t="shared" ref="G41:G42" si="16">F41*1000/L41</f>
        <v>84416</v>
      </c>
      <c r="H41" s="11">
        <f t="shared" ref="H41:H42" si="17">G41-F41</f>
        <v>73914.845916279068</v>
      </c>
      <c r="I41">
        <v>53.491</v>
      </c>
      <c r="J41">
        <f>Salts!F6-2*INPUTS!J42</f>
        <v>0.23255813953488369</v>
      </c>
      <c r="K41">
        <f t="shared" ref="K41:K42" si="18">J41*I41</f>
        <v>12.439767441860463</v>
      </c>
      <c r="L41">
        <f t="shared" ref="L41:L42" si="19">10*K41</f>
        <v>124.39767441860462</v>
      </c>
    </row>
    <row r="42" spans="1:12" x14ac:dyDescent="0.25">
      <c r="A42" t="s">
        <v>32</v>
      </c>
      <c r="B42" s="5">
        <f t="shared" si="15"/>
        <v>50.171808258186978</v>
      </c>
      <c r="C42" s="5">
        <f t="shared" si="15"/>
        <v>1254.2952064546744</v>
      </c>
      <c r="D42" s="5">
        <f t="shared" si="15"/>
        <v>12542.952064546744</v>
      </c>
      <c r="E42" s="5">
        <f t="shared" si="15"/>
        <v>250859.04129093487</v>
      </c>
      <c r="F42" s="11">
        <f>SUM(B42:E42)/1000</f>
        <v>264.70646037019446</v>
      </c>
      <c r="G42" s="5">
        <f t="shared" si="16"/>
        <v>84415.999999999985</v>
      </c>
      <c r="H42" s="11">
        <f t="shared" si="17"/>
        <v>84151.293539629798</v>
      </c>
      <c r="I42">
        <v>132.13999999999999</v>
      </c>
      <c r="J42">
        <f>Salts!F7</f>
        <v>2.3730422401518742E-3</v>
      </c>
      <c r="K42">
        <f t="shared" si="18"/>
        <v>0.3135738016136686</v>
      </c>
      <c r="L42">
        <f t="shared" si="19"/>
        <v>3.1357380161366861</v>
      </c>
    </row>
    <row r="43" spans="1:12" x14ac:dyDescent="0.25">
      <c r="A43" t="s">
        <v>33</v>
      </c>
      <c r="B43" s="5">
        <f t="shared" si="15"/>
        <v>4284.8</v>
      </c>
      <c r="C43" s="5">
        <f t="shared" si="15"/>
        <v>107120</v>
      </c>
      <c r="D43" s="5">
        <f t="shared" si="15"/>
        <v>1071200</v>
      </c>
      <c r="E43" s="5">
        <f t="shared" si="15"/>
        <v>21424000</v>
      </c>
      <c r="F43" s="11">
        <f>SUM(B43:E43)/1000</f>
        <v>22606.604800000001</v>
      </c>
      <c r="G43" s="5"/>
      <c r="H43" s="5"/>
      <c r="I43" s="2">
        <v>74.093000000000004</v>
      </c>
      <c r="K43">
        <v>26.78</v>
      </c>
    </row>
    <row r="44" spans="1:12" x14ac:dyDescent="0.25">
      <c r="A44" t="s">
        <v>65</v>
      </c>
      <c r="B44" s="5">
        <f>B47-B40/1000+B48-B41/1000+B49-B42/1000</f>
        <v>45.420462078785008</v>
      </c>
      <c r="C44" s="5">
        <f t="shared" ref="C44:E44" si="20">C47-C40/1000+C48-C41/1000+C49-C42/1000</f>
        <v>1135.5115519696251</v>
      </c>
      <c r="D44" s="5">
        <f t="shared" si="20"/>
        <v>11355.11551969625</v>
      </c>
      <c r="E44" s="5">
        <f t="shared" si="20"/>
        <v>227102.310393925</v>
      </c>
      <c r="F44" s="11"/>
      <c r="G44" s="5"/>
      <c r="H44" s="5"/>
      <c r="I44" s="2"/>
    </row>
    <row r="46" spans="1:12" x14ac:dyDescent="0.25">
      <c r="A46" s="7" t="s">
        <v>76</v>
      </c>
    </row>
    <row r="47" spans="1:12" x14ac:dyDescent="0.25">
      <c r="A47" t="s">
        <v>31</v>
      </c>
      <c r="B47">
        <f t="shared" ref="B47:E49" si="21">B40/$L40</f>
        <v>16</v>
      </c>
      <c r="C47">
        <f t="shared" si="21"/>
        <v>400</v>
      </c>
      <c r="D47">
        <f t="shared" si="21"/>
        <v>3999.9999999999995</v>
      </c>
      <c r="E47">
        <f t="shared" si="21"/>
        <v>80000</v>
      </c>
    </row>
    <row r="48" spans="1:12" x14ac:dyDescent="0.25">
      <c r="A48" t="s">
        <v>80</v>
      </c>
      <c r="B48">
        <f t="shared" si="21"/>
        <v>16</v>
      </c>
      <c r="C48">
        <f t="shared" si="21"/>
        <v>400</v>
      </c>
      <c r="D48">
        <f t="shared" si="21"/>
        <v>4000</v>
      </c>
      <c r="E48">
        <f t="shared" si="21"/>
        <v>80000</v>
      </c>
    </row>
    <row r="49" spans="1:5" x14ac:dyDescent="0.25">
      <c r="A49" t="s">
        <v>32</v>
      </c>
      <c r="B49">
        <f t="shared" si="21"/>
        <v>16</v>
      </c>
      <c r="C49">
        <f t="shared" si="21"/>
        <v>400</v>
      </c>
      <c r="D49">
        <f t="shared" si="21"/>
        <v>3999.9999999999995</v>
      </c>
      <c r="E49">
        <f t="shared" si="21"/>
        <v>79999.999999999985</v>
      </c>
    </row>
    <row r="51" spans="1:5" x14ac:dyDescent="0.25">
      <c r="A51" s="10" t="s">
        <v>77</v>
      </c>
    </row>
    <row r="52" spans="1:5" x14ac:dyDescent="0.25">
      <c r="A52" s="10" t="s">
        <v>65</v>
      </c>
      <c r="B52" s="10">
        <f>B9-(B24+B28)/$N$22-(B47+B48+B49)</f>
        <v>82.962962962962962</v>
      </c>
      <c r="C52" s="10">
        <f>C9-(C24+C28)/$N$22-(C47+C48+C49)-B9</f>
        <v>2224.5925925925926</v>
      </c>
      <c r="D52" s="10">
        <f>D9-(D24+D28)/$N$22-(D47+D48+D49)-C9</f>
        <v>19970.962962962964</v>
      </c>
      <c r="E52" s="10">
        <f>E9-(E24+E28+E32+E33)/$N$22-(E47+E48+E49)-D9</f>
        <v>179712.30651340995</v>
      </c>
    </row>
    <row r="53" spans="1:5" x14ac:dyDescent="0.25">
      <c r="A53" s="10" t="s">
        <v>78</v>
      </c>
      <c r="B53" s="10">
        <f>(B24+B28)/$N$22+(B47+B48+B49)</f>
        <v>77.037037037037038</v>
      </c>
      <c r="C53" s="10">
        <f>(C24+C28)/$N$22+(C47+C48+C49)</f>
        <v>1615.4074074074074</v>
      </c>
      <c r="D53" s="10">
        <f>(D24+D28)/$N$22+(D47+D48+D49)</f>
        <v>16029.037037037036</v>
      </c>
      <c r="E53" s="10">
        <f>(E24+E28+E32+E33)/$N$22+(E47+E48+E49)</f>
        <v>580287.69348659005</v>
      </c>
    </row>
    <row r="54" spans="1:5" x14ac:dyDescent="0.25">
      <c r="A54" s="10"/>
      <c r="B54" s="10">
        <f>B52+B53</f>
        <v>160</v>
      </c>
      <c r="C54" s="10">
        <f t="shared" ref="C54:E54" si="22">C52+C53</f>
        <v>3840</v>
      </c>
      <c r="D54" s="10">
        <f t="shared" si="22"/>
        <v>36000</v>
      </c>
      <c r="E54" s="10">
        <f t="shared" si="22"/>
        <v>760000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B16" workbookViewId="0">
      <selection activeCell="J26" sqref="J26"/>
    </sheetView>
  </sheetViews>
  <sheetFormatPr baseColWidth="10" defaultRowHeight="15" x14ac:dyDescent="0.25"/>
  <cols>
    <col min="1" max="1" width="59.85546875" customWidth="1"/>
    <col min="3" max="6" width="16.85546875" customWidth="1"/>
    <col min="7" max="7" width="11" customWidth="1"/>
    <col min="8" max="8" width="9.7109375" customWidth="1"/>
    <col min="9" max="10" width="9.85546875" customWidth="1"/>
    <col min="11" max="11" width="6.140625" customWidth="1"/>
    <col min="14" max="14" width="12" bestFit="1" customWidth="1"/>
    <col min="18" max="18" width="14.28515625" customWidth="1"/>
  </cols>
  <sheetData>
    <row r="1" spans="1:18" x14ac:dyDescent="0.25">
      <c r="L1" s="55" t="s">
        <v>228</v>
      </c>
      <c r="M1" s="55"/>
      <c r="N1" s="55" t="s">
        <v>229</v>
      </c>
      <c r="O1" s="55"/>
      <c r="Q1" t="s">
        <v>230</v>
      </c>
    </row>
    <row r="2" spans="1:18" ht="45" x14ac:dyDescent="0.25">
      <c r="A2" t="s">
        <v>199</v>
      </c>
      <c r="B2" t="s">
        <v>90</v>
      </c>
      <c r="C2" s="30" t="s">
        <v>51</v>
      </c>
      <c r="D2" s="30" t="s">
        <v>66</v>
      </c>
      <c r="E2" s="30" t="s">
        <v>206</v>
      </c>
      <c r="F2" s="30" t="s">
        <v>207</v>
      </c>
      <c r="G2" s="23" t="s">
        <v>244</v>
      </c>
      <c r="H2" s="29" t="s">
        <v>245</v>
      </c>
      <c r="L2" s="30" t="s">
        <v>225</v>
      </c>
      <c r="M2" s="30" t="s">
        <v>226</v>
      </c>
      <c r="N2" s="30" t="s">
        <v>226</v>
      </c>
      <c r="O2" s="30" t="s">
        <v>227</v>
      </c>
      <c r="Q2" s="30" t="s">
        <v>231</v>
      </c>
      <c r="R2" s="30" t="s">
        <v>232</v>
      </c>
    </row>
    <row r="3" spans="1:18" x14ac:dyDescent="0.25">
      <c r="A3" t="s">
        <v>200</v>
      </c>
      <c r="B3" t="s">
        <v>201</v>
      </c>
      <c r="C3" s="4">
        <f>0.66+2.94</f>
        <v>3.6</v>
      </c>
      <c r="D3" s="4">
        <f>C3*$B$30</f>
        <v>1.62</v>
      </c>
      <c r="E3">
        <v>0</v>
      </c>
      <c r="F3">
        <v>0</v>
      </c>
      <c r="G3" s="3">
        <f>(D3-E3)/B$30</f>
        <v>3.6</v>
      </c>
      <c r="H3" s="36">
        <f>D3/B$30</f>
        <v>3.6</v>
      </c>
      <c r="I3" s="36">
        <f>F3/B$31</f>
        <v>0</v>
      </c>
      <c r="J3" s="36"/>
      <c r="K3" s="34"/>
      <c r="L3">
        <f>C3*$F$36</f>
        <v>59316.995645587958</v>
      </c>
      <c r="M3">
        <f>E3</f>
        <v>0</v>
      </c>
      <c r="N3">
        <f>D3*$F$37</f>
        <v>36878.048780487799</v>
      </c>
      <c r="O3">
        <f>F3*$F$38</f>
        <v>0</v>
      </c>
      <c r="Q3">
        <f>L3+M3-N3-O3</f>
        <v>22438.946865100159</v>
      </c>
    </row>
    <row r="4" spans="1:18" x14ac:dyDescent="0.25">
      <c r="B4" t="s">
        <v>202</v>
      </c>
      <c r="C4" s="4">
        <f>16.52+34.96</f>
        <v>51.480000000000004</v>
      </c>
      <c r="D4" s="4">
        <f t="shared" ref="D4:D5" si="0">C4*$B$30</f>
        <v>23.166000000000004</v>
      </c>
      <c r="E4">
        <v>0</v>
      </c>
      <c r="F4">
        <v>0</v>
      </c>
      <c r="G4" s="3">
        <f t="shared" ref="G4:G26" si="1">(D4-E4)/B$30</f>
        <v>51.480000000000004</v>
      </c>
      <c r="H4" s="36">
        <f t="shared" ref="H4:H26" si="2">D4/B$30</f>
        <v>51.480000000000004</v>
      </c>
      <c r="I4" s="36">
        <f t="shared" ref="I4:I26" si="3">F4/B$31</f>
        <v>0</v>
      </c>
      <c r="J4" s="36"/>
      <c r="K4" s="34"/>
      <c r="L4">
        <f t="shared" ref="L4:L6" si="4">C4*$F$36</f>
        <v>848233.03773190791</v>
      </c>
      <c r="M4">
        <f t="shared" ref="M4:M6" si="5">E4</f>
        <v>0</v>
      </c>
      <c r="N4">
        <f>D4*$F$37</f>
        <v>527356.09756097558</v>
      </c>
      <c r="O4">
        <f>F4*$F$38</f>
        <v>0</v>
      </c>
      <c r="Q4">
        <f t="shared" ref="Q4:Q6" si="6">L4+M4-N4-O4</f>
        <v>320876.94017093233</v>
      </c>
    </row>
    <row r="5" spans="1:18" x14ac:dyDescent="0.25">
      <c r="B5" t="s">
        <v>203</v>
      </c>
      <c r="C5" s="4">
        <f>165.21+334.02</f>
        <v>499.23</v>
      </c>
      <c r="D5" s="4">
        <f t="shared" si="0"/>
        <v>224.65350000000001</v>
      </c>
      <c r="E5">
        <v>0</v>
      </c>
      <c r="F5">
        <v>0</v>
      </c>
      <c r="G5" s="3">
        <f t="shared" si="1"/>
        <v>499.23</v>
      </c>
      <c r="H5" s="36">
        <f t="shared" si="2"/>
        <v>499.23</v>
      </c>
      <c r="I5" s="36">
        <f t="shared" si="3"/>
        <v>0</v>
      </c>
      <c r="J5" s="36"/>
      <c r="K5" s="34"/>
      <c r="L5">
        <f t="shared" si="4"/>
        <v>8225784.3711519102</v>
      </c>
      <c r="M5">
        <f t="shared" si="5"/>
        <v>0</v>
      </c>
      <c r="N5">
        <f>D5*$F$37</f>
        <v>5114063.4146341458</v>
      </c>
      <c r="O5">
        <f>F5*$F$38</f>
        <v>0</v>
      </c>
      <c r="Q5">
        <f t="shared" si="6"/>
        <v>3111720.9565177644</v>
      </c>
    </row>
    <row r="6" spans="1:18" x14ac:dyDescent="0.25">
      <c r="B6" t="s">
        <v>204</v>
      </c>
      <c r="C6" s="4">
        <f>3304.16+38859.41</f>
        <v>42163.570000000007</v>
      </c>
      <c r="D6" s="4">
        <f>$D$41</f>
        <v>5.8883999999999999</v>
      </c>
      <c r="E6">
        <v>0</v>
      </c>
      <c r="F6">
        <v>15337.42</v>
      </c>
      <c r="G6" s="3">
        <f>(D6-E6)/B$30</f>
        <v>13.085333333333333</v>
      </c>
      <c r="H6" s="36">
        <f t="shared" si="2"/>
        <v>13.085333333333333</v>
      </c>
      <c r="I6" s="36">
        <f t="shared" si="3"/>
        <v>29382.030651340996</v>
      </c>
      <c r="J6" s="36">
        <f>SUM(C3:C6)</f>
        <v>42717.880000000005</v>
      </c>
      <c r="K6" s="34"/>
      <c r="L6">
        <f t="shared" si="4"/>
        <v>694726749.47012317</v>
      </c>
      <c r="M6">
        <f t="shared" si="5"/>
        <v>0</v>
      </c>
      <c r="N6">
        <f>D6*$F$37</f>
        <v>134044.87804878046</v>
      </c>
      <c r="O6">
        <f>F6*$F$38</f>
        <v>335582820.66723621</v>
      </c>
      <c r="Q6">
        <f t="shared" si="6"/>
        <v>359009883.92483819</v>
      </c>
      <c r="R6" s="25">
        <f>SUM(Q3:Q6)</f>
        <v>362464920.76839197</v>
      </c>
    </row>
    <row r="7" spans="1:18" x14ac:dyDescent="0.25">
      <c r="A7" t="s">
        <v>133</v>
      </c>
      <c r="B7" t="s">
        <v>201</v>
      </c>
      <c r="C7" s="4">
        <f>0.66+2.94</f>
        <v>3.6</v>
      </c>
      <c r="D7" s="4">
        <f>C7*$B$30</f>
        <v>1.62</v>
      </c>
      <c r="E7">
        <v>0</v>
      </c>
      <c r="F7">
        <v>0</v>
      </c>
      <c r="G7" s="3">
        <f t="shared" si="1"/>
        <v>3.6</v>
      </c>
      <c r="H7" s="36">
        <f t="shared" si="2"/>
        <v>3.6</v>
      </c>
      <c r="I7" s="36">
        <f t="shared" si="3"/>
        <v>0</v>
      </c>
      <c r="J7" s="36"/>
      <c r="K7" s="34"/>
      <c r="L7">
        <f t="shared" ref="L7:L26" si="7">C7*$F$36</f>
        <v>59316.995645587958</v>
      </c>
      <c r="M7">
        <f t="shared" ref="M7:M26" si="8">E7</f>
        <v>0</v>
      </c>
      <c r="N7">
        <f t="shared" ref="N7:N26" si="9">D7*$F$37</f>
        <v>36878.048780487799</v>
      </c>
      <c r="O7">
        <f t="shared" ref="O7:O26" si="10">F7*$F$38</f>
        <v>0</v>
      </c>
      <c r="Q7">
        <f t="shared" ref="Q7:Q26" si="11">L7+M7-N7-O7</f>
        <v>22438.946865100159</v>
      </c>
      <c r="R7" s="25"/>
    </row>
    <row r="8" spans="1:18" x14ac:dyDescent="0.25">
      <c r="B8" t="s">
        <v>202</v>
      </c>
      <c r="C8" s="4">
        <f>16.56+34.96</f>
        <v>51.519999999999996</v>
      </c>
      <c r="D8" s="4">
        <f t="shared" ref="D8:D9" si="12">C8*$B$30</f>
        <v>23.183999999999997</v>
      </c>
      <c r="E8">
        <v>0</v>
      </c>
      <c r="F8">
        <v>0</v>
      </c>
      <c r="G8" s="3">
        <f t="shared" si="1"/>
        <v>51.519999999999996</v>
      </c>
      <c r="H8" s="36">
        <f t="shared" si="2"/>
        <v>51.519999999999996</v>
      </c>
      <c r="I8" s="36">
        <f t="shared" si="3"/>
        <v>0</v>
      </c>
      <c r="J8" s="36"/>
      <c r="K8" s="34"/>
      <c r="L8">
        <f t="shared" si="7"/>
        <v>848892.11546130315</v>
      </c>
      <c r="M8">
        <f t="shared" si="8"/>
        <v>0</v>
      </c>
      <c r="N8">
        <f t="shared" si="9"/>
        <v>527765.85365853645</v>
      </c>
      <c r="O8">
        <f t="shared" si="10"/>
        <v>0</v>
      </c>
      <c r="Q8">
        <f t="shared" si="11"/>
        <v>321126.2618027667</v>
      </c>
      <c r="R8" s="25"/>
    </row>
    <row r="9" spans="1:18" x14ac:dyDescent="0.25">
      <c r="B9" t="s">
        <v>203</v>
      </c>
      <c r="C9" s="4">
        <f>165.21+334.02</f>
        <v>499.23</v>
      </c>
      <c r="D9" s="4">
        <f t="shared" si="12"/>
        <v>224.65350000000001</v>
      </c>
      <c r="E9">
        <v>0</v>
      </c>
      <c r="F9">
        <v>0</v>
      </c>
      <c r="G9" s="3">
        <f t="shared" si="1"/>
        <v>499.23</v>
      </c>
      <c r="H9" s="36">
        <f t="shared" si="2"/>
        <v>499.23</v>
      </c>
      <c r="I9" s="36">
        <f t="shared" si="3"/>
        <v>0</v>
      </c>
      <c r="J9" s="36"/>
      <c r="K9" s="34"/>
      <c r="L9">
        <f t="shared" si="7"/>
        <v>8225784.3711519102</v>
      </c>
      <c r="M9">
        <f t="shared" si="8"/>
        <v>0</v>
      </c>
      <c r="N9">
        <f t="shared" si="9"/>
        <v>5114063.4146341458</v>
      </c>
      <c r="O9">
        <f t="shared" si="10"/>
        <v>0</v>
      </c>
      <c r="Q9">
        <f t="shared" si="11"/>
        <v>3111720.9565177644</v>
      </c>
      <c r="R9" s="25"/>
    </row>
    <row r="10" spans="1:18" x14ac:dyDescent="0.25">
      <c r="B10" t="s">
        <v>204</v>
      </c>
      <c r="C10" s="4">
        <f>3304.16+38859.41</f>
        <v>42163.570000000007</v>
      </c>
      <c r="D10" s="4">
        <f>$D$41</f>
        <v>5.8883999999999999</v>
      </c>
      <c r="E10">
        <v>0</v>
      </c>
      <c r="F10">
        <v>15337.42</v>
      </c>
      <c r="G10" s="3">
        <f t="shared" si="1"/>
        <v>13.085333333333333</v>
      </c>
      <c r="H10" s="36">
        <f t="shared" si="2"/>
        <v>13.085333333333333</v>
      </c>
      <c r="I10" s="36">
        <f t="shared" si="3"/>
        <v>29382.030651340996</v>
      </c>
      <c r="J10" s="36">
        <f>SUM(C7:C10)</f>
        <v>42717.920000000006</v>
      </c>
      <c r="K10" s="34"/>
      <c r="L10">
        <f t="shared" si="7"/>
        <v>694726749.47012317</v>
      </c>
      <c r="M10">
        <f t="shared" si="8"/>
        <v>0</v>
      </c>
      <c r="N10">
        <f t="shared" si="9"/>
        <v>134044.87804878046</v>
      </c>
      <c r="O10">
        <f t="shared" si="10"/>
        <v>335582820.66723621</v>
      </c>
      <c r="Q10">
        <f t="shared" si="11"/>
        <v>359009883.92483819</v>
      </c>
      <c r="R10" s="25">
        <f>SUM(Q7:Q10)</f>
        <v>362465170.09002382</v>
      </c>
    </row>
    <row r="11" spans="1:18" x14ac:dyDescent="0.25">
      <c r="A11" t="s">
        <v>132</v>
      </c>
      <c r="B11" t="s">
        <v>201</v>
      </c>
      <c r="C11" s="4">
        <f>0.66+2.94</f>
        <v>3.6</v>
      </c>
      <c r="D11" s="4">
        <f>C11*$B$30</f>
        <v>1.62</v>
      </c>
      <c r="E11" s="4">
        <f>D11*(1-$B$32)</f>
        <v>1.2150000000000001</v>
      </c>
      <c r="F11">
        <v>0</v>
      </c>
      <c r="G11" s="3">
        <f>(D11-E11)/B$30</f>
        <v>0.9</v>
      </c>
      <c r="H11" s="36">
        <f t="shared" si="2"/>
        <v>3.6</v>
      </c>
      <c r="I11" s="36">
        <f t="shared" si="3"/>
        <v>0</v>
      </c>
      <c r="J11" s="36"/>
      <c r="K11" s="34">
        <f>E11/B30</f>
        <v>2.7</v>
      </c>
      <c r="L11">
        <f t="shared" si="7"/>
        <v>59316.995645587958</v>
      </c>
      <c r="M11">
        <f t="shared" si="8"/>
        <v>1.2150000000000001</v>
      </c>
      <c r="N11">
        <f t="shared" si="9"/>
        <v>36878.048780487799</v>
      </c>
      <c r="O11">
        <f t="shared" si="10"/>
        <v>0</v>
      </c>
      <c r="Q11">
        <f t="shared" si="11"/>
        <v>22440.161865100155</v>
      </c>
      <c r="R11" s="25"/>
    </row>
    <row r="12" spans="1:18" x14ac:dyDescent="0.25">
      <c r="B12" t="s">
        <v>202</v>
      </c>
      <c r="C12" s="4">
        <f>16.56+34.96</f>
        <v>51.519999999999996</v>
      </c>
      <c r="D12" s="4">
        <f t="shared" ref="D12:D13" si="13">C12*$B$30</f>
        <v>23.183999999999997</v>
      </c>
      <c r="E12" s="4">
        <f t="shared" ref="E12:E14" si="14">D12*(1-$B$32)</f>
        <v>17.387999999999998</v>
      </c>
      <c r="F12">
        <v>0</v>
      </c>
      <c r="G12" s="3">
        <f t="shared" si="1"/>
        <v>12.879999999999999</v>
      </c>
      <c r="H12" s="36">
        <f t="shared" si="2"/>
        <v>51.519999999999996</v>
      </c>
      <c r="I12" s="36">
        <f t="shared" si="3"/>
        <v>0</v>
      </c>
      <c r="J12" s="36"/>
      <c r="K12" s="34"/>
      <c r="L12">
        <f t="shared" si="7"/>
        <v>848892.11546130315</v>
      </c>
      <c r="M12">
        <f t="shared" si="8"/>
        <v>17.387999999999998</v>
      </c>
      <c r="N12">
        <f t="shared" si="9"/>
        <v>527765.85365853645</v>
      </c>
      <c r="O12">
        <f t="shared" si="10"/>
        <v>0</v>
      </c>
      <c r="Q12">
        <f t="shared" si="11"/>
        <v>321143.64980276674</v>
      </c>
      <c r="R12" s="25"/>
    </row>
    <row r="13" spans="1:18" x14ac:dyDescent="0.25">
      <c r="B13" t="s">
        <v>203</v>
      </c>
      <c r="C13" s="4">
        <f>165.21+334.02</f>
        <v>499.23</v>
      </c>
      <c r="D13" s="4">
        <f t="shared" si="13"/>
        <v>224.65350000000001</v>
      </c>
      <c r="E13" s="4">
        <f t="shared" si="14"/>
        <v>168.49012500000001</v>
      </c>
      <c r="F13">
        <v>0</v>
      </c>
      <c r="G13" s="3">
        <f t="shared" si="1"/>
        <v>124.8075</v>
      </c>
      <c r="H13" s="36">
        <f t="shared" si="2"/>
        <v>499.23</v>
      </c>
      <c r="I13" s="36">
        <f t="shared" si="3"/>
        <v>0</v>
      </c>
      <c r="J13" s="36"/>
      <c r="K13" s="34"/>
      <c r="L13">
        <f t="shared" si="7"/>
        <v>8225784.3711519102</v>
      </c>
      <c r="M13">
        <f t="shared" si="8"/>
        <v>168.49012500000001</v>
      </c>
      <c r="N13">
        <f t="shared" si="9"/>
        <v>5114063.4146341458</v>
      </c>
      <c r="O13">
        <f t="shared" si="10"/>
        <v>0</v>
      </c>
      <c r="Q13">
        <f t="shared" si="11"/>
        <v>3111889.4466427639</v>
      </c>
      <c r="R13" s="25"/>
    </row>
    <row r="14" spans="1:18" x14ac:dyDescent="0.25">
      <c r="B14" t="s">
        <v>204</v>
      </c>
      <c r="C14" s="4">
        <f>3304.16+38859.41</f>
        <v>42163.570000000007</v>
      </c>
      <c r="D14" s="4">
        <f>$D$41</f>
        <v>5.8883999999999999</v>
      </c>
      <c r="E14" s="4">
        <f t="shared" si="14"/>
        <v>4.4162999999999997</v>
      </c>
      <c r="F14">
        <v>15337.42</v>
      </c>
      <c r="G14" s="3">
        <f>(D14-E14)/B$30</f>
        <v>3.2713333333333336</v>
      </c>
      <c r="H14" s="36">
        <f t="shared" si="2"/>
        <v>13.085333333333333</v>
      </c>
      <c r="I14" s="36">
        <f t="shared" si="3"/>
        <v>29382.030651340996</v>
      </c>
      <c r="J14" s="36">
        <f>SUM(C11:C14)</f>
        <v>42717.920000000006</v>
      </c>
      <c r="K14" s="34">
        <f>E14/B30</f>
        <v>9.8139999999999983</v>
      </c>
      <c r="L14">
        <f t="shared" si="7"/>
        <v>694726749.47012317</v>
      </c>
      <c r="M14">
        <f t="shared" si="8"/>
        <v>4.4162999999999997</v>
      </c>
      <c r="N14">
        <f t="shared" si="9"/>
        <v>134044.87804878046</v>
      </c>
      <c r="O14">
        <f t="shared" si="10"/>
        <v>335582820.66723621</v>
      </c>
      <c r="Q14">
        <f t="shared" si="11"/>
        <v>359009888.34113824</v>
      </c>
      <c r="R14" s="25">
        <f>SUM(Q11:Q14)</f>
        <v>362465361.59944886</v>
      </c>
    </row>
    <row r="15" spans="1:18" x14ac:dyDescent="0.25">
      <c r="A15" t="s">
        <v>205</v>
      </c>
      <c r="B15" t="s">
        <v>201</v>
      </c>
      <c r="C15" s="4">
        <f>0.69+3.06</f>
        <v>3.75</v>
      </c>
      <c r="D15" s="4">
        <f>C15*$B$30</f>
        <v>1.6875</v>
      </c>
      <c r="E15">
        <v>0</v>
      </c>
      <c r="F15">
        <v>0</v>
      </c>
      <c r="G15" s="3">
        <f t="shared" si="1"/>
        <v>3.75</v>
      </c>
      <c r="H15" s="36">
        <f t="shared" si="2"/>
        <v>3.75</v>
      </c>
      <c r="I15" s="36">
        <f t="shared" si="3"/>
        <v>0</v>
      </c>
      <c r="J15" s="36"/>
      <c r="K15" s="34"/>
      <c r="L15">
        <f t="shared" si="7"/>
        <v>61788.53713082079</v>
      </c>
      <c r="M15">
        <f t="shared" si="8"/>
        <v>0</v>
      </c>
      <c r="N15">
        <f t="shared" si="9"/>
        <v>38414.634146341457</v>
      </c>
      <c r="O15">
        <f t="shared" si="10"/>
        <v>0</v>
      </c>
      <c r="Q15">
        <f t="shared" si="11"/>
        <v>23373.902984479333</v>
      </c>
      <c r="R15" s="25"/>
    </row>
    <row r="16" spans="1:18" x14ac:dyDescent="0.25">
      <c r="B16" t="s">
        <v>202</v>
      </c>
      <c r="C16" s="4">
        <f>17.2+36.39</f>
        <v>53.59</v>
      </c>
      <c r="D16" s="4">
        <f t="shared" ref="D16:D17" si="15">C16*$B$30</f>
        <v>24.115500000000001</v>
      </c>
      <c r="E16">
        <v>0</v>
      </c>
      <c r="F16">
        <v>0</v>
      </c>
      <c r="G16" s="3">
        <f t="shared" si="1"/>
        <v>53.59</v>
      </c>
      <c r="H16" s="36">
        <f t="shared" si="2"/>
        <v>53.59</v>
      </c>
      <c r="I16" s="36">
        <f t="shared" si="3"/>
        <v>0</v>
      </c>
      <c r="J16" s="36"/>
      <c r="K16" s="34"/>
      <c r="L16">
        <f t="shared" si="7"/>
        <v>882999.38795751636</v>
      </c>
      <c r="M16">
        <f t="shared" si="8"/>
        <v>0</v>
      </c>
      <c r="N16">
        <f t="shared" si="9"/>
        <v>548970.73170731706</v>
      </c>
      <c r="O16">
        <f t="shared" si="10"/>
        <v>0</v>
      </c>
      <c r="Q16">
        <f t="shared" si="11"/>
        <v>334028.6562501993</v>
      </c>
      <c r="R16" s="25"/>
    </row>
    <row r="17" spans="1:18" x14ac:dyDescent="0.25">
      <c r="B17" t="s">
        <v>203</v>
      </c>
      <c r="C17" s="4">
        <f>171.99+347.74</f>
        <v>519.73</v>
      </c>
      <c r="D17" s="4">
        <f t="shared" si="15"/>
        <v>233.8785</v>
      </c>
      <c r="E17">
        <v>0</v>
      </c>
      <c r="F17">
        <v>0</v>
      </c>
      <c r="G17" s="3">
        <f t="shared" si="1"/>
        <v>519.73</v>
      </c>
      <c r="H17" s="36">
        <f t="shared" si="2"/>
        <v>519.73</v>
      </c>
      <c r="I17" s="36">
        <f t="shared" si="3"/>
        <v>0</v>
      </c>
      <c r="J17" s="36"/>
      <c r="K17" s="34"/>
      <c r="L17">
        <f t="shared" si="7"/>
        <v>8563561.7074670643</v>
      </c>
      <c r="M17">
        <f t="shared" si="8"/>
        <v>0</v>
      </c>
      <c r="N17">
        <f t="shared" si="9"/>
        <v>5324063.4146341458</v>
      </c>
      <c r="O17">
        <f t="shared" si="10"/>
        <v>0</v>
      </c>
      <c r="Q17">
        <f t="shared" si="11"/>
        <v>3239498.2928329185</v>
      </c>
      <c r="R17" s="25"/>
    </row>
    <row r="18" spans="1:18" x14ac:dyDescent="0.25">
      <c r="B18" t="s">
        <v>204</v>
      </c>
      <c r="C18" s="4">
        <f>3439.88+40455.6</f>
        <v>43895.479999999996</v>
      </c>
      <c r="D18" s="4">
        <f>D43</f>
        <v>6.8925000000000001</v>
      </c>
      <c r="E18">
        <v>0</v>
      </c>
      <c r="F18">
        <v>15290.56</v>
      </c>
      <c r="G18" s="3">
        <f t="shared" si="1"/>
        <v>15.316666666666666</v>
      </c>
      <c r="H18" s="36">
        <f t="shared" si="2"/>
        <v>15.316666666666666</v>
      </c>
      <c r="I18" s="36">
        <f t="shared" si="3"/>
        <v>29292.260536398466</v>
      </c>
      <c r="J18" s="36">
        <f>SUM(C15:C18)</f>
        <v>44472.549999999996</v>
      </c>
      <c r="K18" s="34"/>
      <c r="L18">
        <f t="shared" si="7"/>
        <v>723263332.22805369</v>
      </c>
      <c r="M18">
        <f t="shared" si="8"/>
        <v>0</v>
      </c>
      <c r="N18">
        <f t="shared" si="9"/>
        <v>156902.43902439022</v>
      </c>
      <c r="O18">
        <f t="shared" si="10"/>
        <v>334557523.65010643</v>
      </c>
      <c r="Q18">
        <f t="shared" si="11"/>
        <v>388548906.13892281</v>
      </c>
      <c r="R18" s="25">
        <f>SUM(Q15:Q18)</f>
        <v>392145806.9909904</v>
      </c>
    </row>
    <row r="19" spans="1:18" x14ac:dyDescent="0.25">
      <c r="A19" t="s">
        <v>197</v>
      </c>
      <c r="B19" t="s">
        <v>201</v>
      </c>
      <c r="C19" s="4">
        <f>0.66+2.94</f>
        <v>3.6</v>
      </c>
      <c r="D19" s="4">
        <f>C19*$B$30</f>
        <v>1.62</v>
      </c>
      <c r="E19" s="4">
        <f>D19*(1-$B$32)</f>
        <v>1.2150000000000001</v>
      </c>
      <c r="F19">
        <v>0</v>
      </c>
      <c r="G19" s="3">
        <f t="shared" si="1"/>
        <v>0.9</v>
      </c>
      <c r="H19" s="36">
        <f t="shared" si="2"/>
        <v>3.6</v>
      </c>
      <c r="I19" s="36">
        <f t="shared" si="3"/>
        <v>0</v>
      </c>
      <c r="J19" s="36"/>
      <c r="K19" s="34"/>
      <c r="L19">
        <f t="shared" si="7"/>
        <v>59316.995645587958</v>
      </c>
      <c r="M19">
        <f t="shared" si="8"/>
        <v>1.2150000000000001</v>
      </c>
      <c r="N19">
        <f t="shared" si="9"/>
        <v>36878.048780487799</v>
      </c>
      <c r="O19">
        <f t="shared" si="10"/>
        <v>0</v>
      </c>
      <c r="Q19">
        <f t="shared" si="11"/>
        <v>22440.161865100155</v>
      </c>
      <c r="R19" s="25"/>
    </row>
    <row r="20" spans="1:18" x14ac:dyDescent="0.25">
      <c r="B20" t="s">
        <v>202</v>
      </c>
      <c r="C20" s="4">
        <f>16.52+34.96</f>
        <v>51.480000000000004</v>
      </c>
      <c r="D20" s="4">
        <f t="shared" ref="D20:D21" si="16">C20*$B$30</f>
        <v>23.166000000000004</v>
      </c>
      <c r="E20" s="4">
        <f t="shared" ref="E20:E26" si="17">D20*(1-$B$32)</f>
        <v>17.374500000000005</v>
      </c>
      <c r="F20">
        <v>0</v>
      </c>
      <c r="G20" s="3">
        <f t="shared" si="1"/>
        <v>12.869999999999997</v>
      </c>
      <c r="H20" s="36">
        <f t="shared" si="2"/>
        <v>51.480000000000004</v>
      </c>
      <c r="I20" s="36">
        <f t="shared" si="3"/>
        <v>0</v>
      </c>
      <c r="J20" s="36"/>
      <c r="K20" s="34"/>
      <c r="L20">
        <f t="shared" si="7"/>
        <v>848233.03773190791</v>
      </c>
      <c r="M20">
        <f t="shared" si="8"/>
        <v>17.374500000000005</v>
      </c>
      <c r="N20">
        <f t="shared" si="9"/>
        <v>527356.09756097558</v>
      </c>
      <c r="O20">
        <f t="shared" si="10"/>
        <v>0</v>
      </c>
      <c r="Q20">
        <f t="shared" si="11"/>
        <v>320894.31467093236</v>
      </c>
      <c r="R20" s="25"/>
    </row>
    <row r="21" spans="1:18" x14ac:dyDescent="0.25">
      <c r="B21" t="s">
        <v>203</v>
      </c>
      <c r="C21" s="4">
        <f>165.21+334.02</f>
        <v>499.23</v>
      </c>
      <c r="D21" s="4">
        <f t="shared" si="16"/>
        <v>224.65350000000001</v>
      </c>
      <c r="E21" s="4">
        <f t="shared" si="17"/>
        <v>168.49012500000001</v>
      </c>
      <c r="F21">
        <v>0</v>
      </c>
      <c r="G21" s="3">
        <f t="shared" si="1"/>
        <v>124.8075</v>
      </c>
      <c r="H21" s="36">
        <f t="shared" si="2"/>
        <v>499.23</v>
      </c>
      <c r="I21" s="36">
        <f t="shared" si="3"/>
        <v>0</v>
      </c>
      <c r="J21" s="36"/>
      <c r="K21" s="34"/>
      <c r="L21">
        <f t="shared" si="7"/>
        <v>8225784.3711519102</v>
      </c>
      <c r="M21">
        <f t="shared" si="8"/>
        <v>168.49012500000001</v>
      </c>
      <c r="N21">
        <f t="shared" si="9"/>
        <v>5114063.4146341458</v>
      </c>
      <c r="O21">
        <f t="shared" si="10"/>
        <v>0</v>
      </c>
      <c r="Q21">
        <f t="shared" si="11"/>
        <v>3111889.4466427639</v>
      </c>
      <c r="R21" s="25"/>
    </row>
    <row r="22" spans="1:18" x14ac:dyDescent="0.25">
      <c r="B22" t="s">
        <v>204</v>
      </c>
      <c r="C22" s="4">
        <f>3304.16+38859.41</f>
        <v>42163.570000000007</v>
      </c>
      <c r="D22" s="4">
        <f>$D$41</f>
        <v>5.8883999999999999</v>
      </c>
      <c r="E22" s="4">
        <f t="shared" si="17"/>
        <v>4.4162999999999997</v>
      </c>
      <c r="F22">
        <v>15337.42</v>
      </c>
      <c r="G22" s="3">
        <f t="shared" si="1"/>
        <v>3.2713333333333336</v>
      </c>
      <c r="H22" s="36">
        <f t="shared" si="2"/>
        <v>13.085333333333333</v>
      </c>
      <c r="I22" s="36">
        <f t="shared" si="3"/>
        <v>29382.030651340996</v>
      </c>
      <c r="J22" s="36">
        <f>SUM(C19:C22)</f>
        <v>42717.880000000005</v>
      </c>
      <c r="K22" s="34"/>
      <c r="L22">
        <f t="shared" si="7"/>
        <v>694726749.47012317</v>
      </c>
      <c r="M22">
        <f t="shared" si="8"/>
        <v>4.4162999999999997</v>
      </c>
      <c r="N22">
        <f t="shared" si="9"/>
        <v>134044.87804878046</v>
      </c>
      <c r="O22">
        <f t="shared" si="10"/>
        <v>335582820.66723621</v>
      </c>
      <c r="Q22">
        <f t="shared" si="11"/>
        <v>359009888.34113824</v>
      </c>
      <c r="R22" s="25">
        <f>SUM(Q19:Q22)</f>
        <v>362465112.26431704</v>
      </c>
    </row>
    <row r="23" spans="1:18" x14ac:dyDescent="0.25">
      <c r="A23" t="s">
        <v>198</v>
      </c>
      <c r="B23" t="s">
        <v>201</v>
      </c>
      <c r="C23" s="4">
        <f>3.31+14.71</f>
        <v>18.02</v>
      </c>
      <c r="D23" s="4">
        <f>C23*$B$30</f>
        <v>8.109</v>
      </c>
      <c r="E23" s="4">
        <f>D23*(1-$B$32)</f>
        <v>6.0817499999999995</v>
      </c>
      <c r="F23">
        <v>0</v>
      </c>
      <c r="G23" s="3">
        <f t="shared" si="1"/>
        <v>4.5050000000000008</v>
      </c>
      <c r="H23" s="36">
        <f t="shared" si="2"/>
        <v>18.02</v>
      </c>
      <c r="I23" s="36">
        <f t="shared" si="3"/>
        <v>0</v>
      </c>
      <c r="J23" s="36"/>
      <c r="K23" s="34"/>
      <c r="L23">
        <f t="shared" si="7"/>
        <v>296914.51709263748</v>
      </c>
      <c r="M23">
        <f t="shared" si="8"/>
        <v>6.0817499999999995</v>
      </c>
      <c r="N23">
        <f t="shared" si="9"/>
        <v>184595.12195121948</v>
      </c>
      <c r="O23">
        <f t="shared" si="10"/>
        <v>0</v>
      </c>
      <c r="Q23">
        <f t="shared" si="11"/>
        <v>112325.47689141802</v>
      </c>
      <c r="R23" s="25"/>
    </row>
    <row r="24" spans="1:18" x14ac:dyDescent="0.25">
      <c r="B24" t="s">
        <v>202</v>
      </c>
      <c r="C24" s="4">
        <f>82.6+174.78</f>
        <v>257.38</v>
      </c>
      <c r="D24" s="4">
        <f t="shared" ref="D24:D25" si="18">C24*$B$30</f>
        <v>115.821</v>
      </c>
      <c r="E24" s="4">
        <f t="shared" si="17"/>
        <v>86.865749999999991</v>
      </c>
      <c r="F24">
        <v>0</v>
      </c>
      <c r="G24" s="3">
        <f t="shared" si="1"/>
        <v>64.345000000000013</v>
      </c>
      <c r="H24" s="36">
        <f t="shared" si="2"/>
        <v>257.38</v>
      </c>
      <c r="I24" s="36">
        <f t="shared" si="3"/>
        <v>0</v>
      </c>
      <c r="J24" s="36"/>
      <c r="K24" s="34"/>
      <c r="L24">
        <f t="shared" si="7"/>
        <v>4240835.6497948412</v>
      </c>
      <c r="M24">
        <f t="shared" si="8"/>
        <v>86.865749999999991</v>
      </c>
      <c r="N24">
        <f t="shared" si="9"/>
        <v>2636575.6097560972</v>
      </c>
      <c r="O24">
        <f t="shared" si="10"/>
        <v>0</v>
      </c>
      <c r="Q24">
        <f t="shared" si="11"/>
        <v>1604346.9057887439</v>
      </c>
      <c r="R24" s="25"/>
    </row>
    <row r="25" spans="1:18" x14ac:dyDescent="0.25">
      <c r="B25" t="s">
        <v>203</v>
      </c>
      <c r="C25" s="4">
        <f>826.03+1670.08</f>
        <v>2496.1099999999997</v>
      </c>
      <c r="D25" s="4">
        <f t="shared" si="18"/>
        <v>1123.2494999999999</v>
      </c>
      <c r="E25" s="4">
        <f t="shared" si="17"/>
        <v>842.43712499999992</v>
      </c>
      <c r="F25">
        <v>0</v>
      </c>
      <c r="G25" s="3">
        <f t="shared" si="1"/>
        <v>624.02749999999992</v>
      </c>
      <c r="H25" s="36">
        <f t="shared" si="2"/>
        <v>2496.1099999999997</v>
      </c>
      <c r="I25" s="36">
        <f t="shared" si="3"/>
        <v>0</v>
      </c>
      <c r="J25" s="36"/>
      <c r="K25" s="34"/>
      <c r="L25">
        <f t="shared" si="7"/>
        <v>41128262.77803015</v>
      </c>
      <c r="M25">
        <f t="shared" si="8"/>
        <v>842.43712499999992</v>
      </c>
      <c r="N25">
        <f t="shared" si="9"/>
        <v>25569907.317073163</v>
      </c>
      <c r="O25">
        <f t="shared" si="10"/>
        <v>0</v>
      </c>
      <c r="Q25">
        <f t="shared" si="11"/>
        <v>15559197.898081984</v>
      </c>
      <c r="R25" s="25"/>
    </row>
    <row r="26" spans="1:18" x14ac:dyDescent="0.25">
      <c r="B26" t="s">
        <v>204</v>
      </c>
      <c r="C26" s="4">
        <f>16520.79+194297.03</f>
        <v>210817.82</v>
      </c>
      <c r="D26" s="4">
        <f>D42</f>
        <v>14.721299999999999</v>
      </c>
      <c r="E26" s="4">
        <f t="shared" si="17"/>
        <v>11.040975</v>
      </c>
      <c r="F26">
        <v>76687.12</v>
      </c>
      <c r="G26" s="3">
        <f t="shared" si="1"/>
        <v>8.1784999999999997</v>
      </c>
      <c r="H26" s="36">
        <f t="shared" si="2"/>
        <v>32.713999999999999</v>
      </c>
      <c r="I26" s="36">
        <f t="shared" si="3"/>
        <v>146910.1915708812</v>
      </c>
      <c r="J26" s="36">
        <f>SUM(C23:C26)</f>
        <v>213589.33000000002</v>
      </c>
      <c r="K26" s="34"/>
      <c r="L26">
        <f t="shared" si="7"/>
        <v>3473633253.0423183</v>
      </c>
      <c r="M26">
        <f t="shared" si="8"/>
        <v>11.040975</v>
      </c>
      <c r="N26">
        <f t="shared" si="9"/>
        <v>335119.02439024381</v>
      </c>
      <c r="O26">
        <f t="shared" si="10"/>
        <v>1677914540.9362736</v>
      </c>
      <c r="Q26">
        <f t="shared" si="11"/>
        <v>1795383604.1226296</v>
      </c>
      <c r="R26" s="25">
        <f>SUM(Q23:Q26)</f>
        <v>1812659474.4033918</v>
      </c>
    </row>
    <row r="30" spans="1:18" x14ac:dyDescent="0.25">
      <c r="A30" t="s">
        <v>208</v>
      </c>
      <c r="B30">
        <f>INPUTS!B2</f>
        <v>0.45</v>
      </c>
    </row>
    <row r="31" spans="1:18" x14ac:dyDescent="0.25">
      <c r="A31" t="s">
        <v>209</v>
      </c>
      <c r="B31">
        <f>INPUTS!B5</f>
        <v>0.52200000000000002</v>
      </c>
    </row>
    <row r="32" spans="1:18" x14ac:dyDescent="0.25">
      <c r="A32" t="s">
        <v>216</v>
      </c>
      <c r="B32" s="31">
        <f>Scenarios!J47</f>
        <v>0.25</v>
      </c>
    </row>
    <row r="33" spans="1:19" x14ac:dyDescent="0.25">
      <c r="B33" s="31"/>
    </row>
    <row r="34" spans="1:19" x14ac:dyDescent="0.25">
      <c r="L34" t="s">
        <v>233</v>
      </c>
    </row>
    <row r="35" spans="1:19" x14ac:dyDescent="0.25">
      <c r="B35" t="s">
        <v>221</v>
      </c>
      <c r="D35" t="s">
        <v>222</v>
      </c>
      <c r="E35" t="s">
        <v>224</v>
      </c>
      <c r="F35" t="s">
        <v>223</v>
      </c>
      <c r="K35" t="s">
        <v>235</v>
      </c>
      <c r="L35" t="s">
        <v>51</v>
      </c>
      <c r="M35" s="33" t="s">
        <v>234</v>
      </c>
      <c r="N35" s="33" t="s">
        <v>66</v>
      </c>
      <c r="O35" s="33" t="s">
        <v>61</v>
      </c>
      <c r="R35" s="33" t="s">
        <v>243</v>
      </c>
    </row>
    <row r="36" spans="1:19" x14ac:dyDescent="0.25">
      <c r="A36" t="s">
        <v>218</v>
      </c>
      <c r="B36">
        <v>470</v>
      </c>
      <c r="C36">
        <v>12</v>
      </c>
      <c r="D36">
        <f>B36*C36</f>
        <v>5640</v>
      </c>
      <c r="E36">
        <v>342.29649999999998</v>
      </c>
      <c r="F36">
        <f>D36/E36*1000</f>
        <v>16476.943234885544</v>
      </c>
      <c r="K36" t="s">
        <v>242</v>
      </c>
      <c r="L36">
        <v>1</v>
      </c>
      <c r="N36">
        <f>$B$30*L36</f>
        <v>0.45</v>
      </c>
      <c r="O36">
        <f>L36*(1-$B$30)</f>
        <v>0.55000000000000004</v>
      </c>
    </row>
    <row r="37" spans="1:19" x14ac:dyDescent="0.25">
      <c r="A37" t="s">
        <v>219</v>
      </c>
      <c r="B37">
        <v>560</v>
      </c>
      <c r="C37">
        <v>1</v>
      </c>
      <c r="D37">
        <f t="shared" ref="D37:D38" si="19">B37*C37</f>
        <v>560</v>
      </c>
      <c r="E37">
        <v>24.6</v>
      </c>
      <c r="F37">
        <f>D37/E37*1000</f>
        <v>22764.227642276419</v>
      </c>
      <c r="K37" t="s">
        <v>231</v>
      </c>
      <c r="L37">
        <f>$F$36*L36</f>
        <v>16476.943234885544</v>
      </c>
      <c r="M37" s="33"/>
      <c r="N37">
        <f>$F$37*N36</f>
        <v>10243.902439024389</v>
      </c>
      <c r="O37">
        <f>0*O36</f>
        <v>0</v>
      </c>
      <c r="R37" s="13">
        <f>L37-N37-O37</f>
        <v>6233.0407958611559</v>
      </c>
    </row>
    <row r="38" spans="1:19" x14ac:dyDescent="0.25">
      <c r="A38" t="s">
        <v>220</v>
      </c>
      <c r="B38">
        <v>431.73</v>
      </c>
      <c r="C38">
        <v>7</v>
      </c>
      <c r="D38">
        <f t="shared" si="19"/>
        <v>3022.11</v>
      </c>
      <c r="E38">
        <v>138.12200000000001</v>
      </c>
      <c r="F38">
        <f t="shared" ref="F38" si="20">D38/E38*1000</f>
        <v>21880.004633584802</v>
      </c>
    </row>
    <row r="39" spans="1:19" x14ac:dyDescent="0.25">
      <c r="K39" t="s">
        <v>236</v>
      </c>
      <c r="L39" t="s">
        <v>51</v>
      </c>
      <c r="M39" s="33" t="s">
        <v>234</v>
      </c>
      <c r="N39" s="33" t="s">
        <v>66</v>
      </c>
      <c r="O39" s="33" t="s">
        <v>61</v>
      </c>
      <c r="P39" t="s">
        <v>207</v>
      </c>
    </row>
    <row r="40" spans="1:19" x14ac:dyDescent="0.25">
      <c r="B40" s="30" t="s">
        <v>211</v>
      </c>
      <c r="C40" s="30" t="s">
        <v>212</v>
      </c>
      <c r="D40" s="30" t="s">
        <v>213</v>
      </c>
      <c r="K40" t="s">
        <v>242</v>
      </c>
      <c r="L40">
        <f>C6</f>
        <v>42163.570000000007</v>
      </c>
      <c r="N40">
        <f>D6</f>
        <v>5.8883999999999999</v>
      </c>
      <c r="O40">
        <f>L40-N40-P40</f>
        <v>26820.261600000005</v>
      </c>
      <c r="P40">
        <f>F6</f>
        <v>15337.42</v>
      </c>
    </row>
    <row r="41" spans="1:19" x14ac:dyDescent="0.25">
      <c r="A41" t="s">
        <v>214</v>
      </c>
      <c r="B41">
        <v>196.28</v>
      </c>
      <c r="C41">
        <v>30</v>
      </c>
      <c r="D41">
        <f>B41*C41/1000</f>
        <v>5.8883999999999999</v>
      </c>
      <c r="K41" t="s">
        <v>231</v>
      </c>
      <c r="L41">
        <f>$F$36*L40</f>
        <v>694726749.47012317</v>
      </c>
      <c r="M41" s="33"/>
      <c r="N41">
        <f>$F$37*N40</f>
        <v>134044.87804878046</v>
      </c>
      <c r="O41">
        <f>0*O40</f>
        <v>0</v>
      </c>
      <c r="P41">
        <f>P40*$F$38</f>
        <v>335582820.66723621</v>
      </c>
      <c r="R41" s="13">
        <f>(L41-N41-O41-P41)/L40</f>
        <v>8514.693701810309</v>
      </c>
    </row>
    <row r="42" spans="1:19" x14ac:dyDescent="0.25">
      <c r="A42" t="s">
        <v>215</v>
      </c>
      <c r="B42">
        <v>490.71</v>
      </c>
      <c r="C42">
        <v>30</v>
      </c>
      <c r="D42">
        <f>B42*C42/1000</f>
        <v>14.721299999999999</v>
      </c>
    </row>
    <row r="43" spans="1:19" x14ac:dyDescent="0.25">
      <c r="A43" t="s">
        <v>217</v>
      </c>
      <c r="B43">
        <v>229.75</v>
      </c>
      <c r="C43">
        <v>30</v>
      </c>
      <c r="D43">
        <f>B43*C43/1000</f>
        <v>6.8925000000000001</v>
      </c>
      <c r="K43" t="s">
        <v>132</v>
      </c>
      <c r="L43" t="s">
        <v>51</v>
      </c>
      <c r="M43" t="s">
        <v>66</v>
      </c>
      <c r="N43" s="33" t="s">
        <v>234</v>
      </c>
      <c r="O43" s="33" t="s">
        <v>66</v>
      </c>
      <c r="P43" s="33" t="s">
        <v>61</v>
      </c>
    </row>
    <row r="44" spans="1:19" x14ac:dyDescent="0.25">
      <c r="K44" t="s">
        <v>235</v>
      </c>
      <c r="L44">
        <f>L45+M45/B30</f>
        <v>3.6</v>
      </c>
    </row>
    <row r="45" spans="1:19" x14ac:dyDescent="0.25">
      <c r="K45" t="s">
        <v>242</v>
      </c>
      <c r="L45" s="4">
        <f>G11</f>
        <v>0.9</v>
      </c>
      <c r="M45" s="4">
        <f>E11</f>
        <v>1.2150000000000001</v>
      </c>
      <c r="O45" s="4">
        <f>D11</f>
        <v>1.62</v>
      </c>
      <c r="P45" s="4">
        <f>L45+M45-O45</f>
        <v>0.49500000000000011</v>
      </c>
    </row>
    <row r="46" spans="1:19" x14ac:dyDescent="0.25">
      <c r="K46" t="s">
        <v>231</v>
      </c>
      <c r="L46">
        <f>L45*$F$36</f>
        <v>14829.24891139699</v>
      </c>
      <c r="M46">
        <f>M45*$F$37</f>
        <v>27658.536585365851</v>
      </c>
      <c r="O46">
        <f>O45*$F$37</f>
        <v>36878.048780487799</v>
      </c>
      <c r="P46">
        <f>P45*0</f>
        <v>0</v>
      </c>
      <c r="R46" s="13">
        <f>(L46+M46-O46-P46)/L44</f>
        <v>1558.2601989652883</v>
      </c>
      <c r="S46">
        <f>R46/R37</f>
        <v>0.24999999999999989</v>
      </c>
    </row>
    <row r="48" spans="1:19" x14ac:dyDescent="0.25">
      <c r="K48" t="s">
        <v>236</v>
      </c>
      <c r="L48" t="s">
        <v>51</v>
      </c>
      <c r="M48" t="s">
        <v>66</v>
      </c>
      <c r="N48" s="33" t="s">
        <v>234</v>
      </c>
      <c r="O48" s="33" t="s">
        <v>66</v>
      </c>
      <c r="P48" s="33" t="s">
        <v>61</v>
      </c>
      <c r="Q48" t="s">
        <v>207</v>
      </c>
    </row>
    <row r="49" spans="11:18" x14ac:dyDescent="0.25">
      <c r="L49">
        <f>M50/B30+L50</f>
        <v>42163.570000000007</v>
      </c>
    </row>
    <row r="50" spans="11:18" x14ac:dyDescent="0.25">
      <c r="K50" t="s">
        <v>242</v>
      </c>
      <c r="L50" s="4">
        <f>C14-K14</f>
        <v>42153.756000000008</v>
      </c>
      <c r="M50" s="4">
        <f>E14</f>
        <v>4.4162999999999997</v>
      </c>
      <c r="O50" s="4">
        <f>D14</f>
        <v>5.8883999999999999</v>
      </c>
      <c r="P50" s="4">
        <f>L50+M50-O50-Q50</f>
        <v>26814.863900000004</v>
      </c>
      <c r="Q50">
        <f>F14</f>
        <v>15337.42</v>
      </c>
    </row>
    <row r="51" spans="11:18" x14ac:dyDescent="0.25">
      <c r="K51" t="s">
        <v>231</v>
      </c>
      <c r="L51">
        <f>L50*$F$36</f>
        <v>694565044.74921608</v>
      </c>
      <c r="M51">
        <f>M50*$F$37</f>
        <v>100533.65853658534</v>
      </c>
      <c r="O51">
        <f>O50*$F$37</f>
        <v>134044.87804878046</v>
      </c>
      <c r="P51">
        <f>P50*0</f>
        <v>0</v>
      </c>
      <c r="Q51">
        <f>Q50*$F$38</f>
        <v>335582820.66723621</v>
      </c>
      <c r="R51" s="13">
        <f>(L51+M51-O51-P51-Q51)/L49</f>
        <v>8513.2428981338053</v>
      </c>
    </row>
  </sheetData>
  <mergeCells count="2">
    <mergeCell ref="L1:M1"/>
    <mergeCell ref="N1:O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6"/>
  <sheetViews>
    <sheetView topLeftCell="A90" workbookViewId="0">
      <selection activeCell="D87" sqref="D87"/>
    </sheetView>
  </sheetViews>
  <sheetFormatPr baseColWidth="10" defaultRowHeight="15" x14ac:dyDescent="0.25"/>
  <cols>
    <col min="17" max="17" width="15.42578125" customWidth="1"/>
    <col min="20" max="20" width="12" bestFit="1" customWidth="1"/>
    <col min="23" max="26" width="12" bestFit="1" customWidth="1"/>
    <col min="28" max="28" width="12" bestFit="1" customWidth="1"/>
  </cols>
  <sheetData>
    <row r="1" spans="1:28" x14ac:dyDescent="0.25">
      <c r="B1" t="s">
        <v>289</v>
      </c>
      <c r="C1" t="s">
        <v>290</v>
      </c>
      <c r="D1" t="s">
        <v>319</v>
      </c>
      <c r="E1" t="s">
        <v>320</v>
      </c>
      <c r="G1" t="s">
        <v>182</v>
      </c>
    </row>
    <row r="2" spans="1:28" x14ac:dyDescent="0.25">
      <c r="A2" t="s">
        <v>181</v>
      </c>
      <c r="B2" s="48">
        <v>15572.18</v>
      </c>
      <c r="C2" s="48">
        <v>15524.6</v>
      </c>
      <c r="D2" s="48">
        <v>76687.116599999994</v>
      </c>
      <c r="E2">
        <v>76452.599400000006</v>
      </c>
      <c r="G2">
        <f>Reference_system!C23</f>
        <v>26235.29</v>
      </c>
    </row>
    <row r="3" spans="1:28" x14ac:dyDescent="0.25">
      <c r="A3" t="s">
        <v>291</v>
      </c>
      <c r="B3" t="s">
        <v>292</v>
      </c>
      <c r="R3" t="s">
        <v>170</v>
      </c>
      <c r="T3" t="s">
        <v>182</v>
      </c>
      <c r="U3" t="s">
        <v>132</v>
      </c>
      <c r="V3" t="s">
        <v>133</v>
      </c>
      <c r="W3" t="s">
        <v>180</v>
      </c>
      <c r="X3" t="s">
        <v>197</v>
      </c>
      <c r="Y3" t="s">
        <v>198</v>
      </c>
      <c r="Z3" t="s">
        <v>323</v>
      </c>
    </row>
    <row r="4" spans="1:28" x14ac:dyDescent="0.25">
      <c r="R4" t="s">
        <v>120</v>
      </c>
      <c r="S4" t="s">
        <v>121</v>
      </c>
    </row>
    <row r="5" spans="1:28" x14ac:dyDescent="0.25">
      <c r="B5" t="s">
        <v>120</v>
      </c>
      <c r="C5" t="s">
        <v>121</v>
      </c>
      <c r="D5" t="s">
        <v>122</v>
      </c>
      <c r="E5" t="s">
        <v>173</v>
      </c>
      <c r="F5" t="s">
        <v>174</v>
      </c>
      <c r="G5" t="s">
        <v>175</v>
      </c>
      <c r="H5" t="s">
        <v>176</v>
      </c>
      <c r="I5" t="s">
        <v>331</v>
      </c>
      <c r="J5" t="s">
        <v>293</v>
      </c>
      <c r="K5" t="s">
        <v>294</v>
      </c>
      <c r="L5" t="s">
        <v>332</v>
      </c>
      <c r="M5" t="s">
        <v>333</v>
      </c>
      <c r="N5" t="s">
        <v>334</v>
      </c>
      <c r="Q5" t="s">
        <v>297</v>
      </c>
      <c r="R5">
        <f>B6/$B$2</f>
        <v>9.1468459112194306E-5</v>
      </c>
      <c r="S5">
        <f>C6/$B$2</f>
        <v>5.7003547365802736E-8</v>
      </c>
      <c r="T5">
        <f>D6/$G$2</f>
        <v>3.3573798952335841E-5</v>
      </c>
      <c r="U5">
        <f>G6/$B$2</f>
        <v>8.9300509032985755E-5</v>
      </c>
      <c r="V5">
        <f t="shared" ref="V5" si="0">H6/$B$2</f>
        <v>9.3750887422839967E-5</v>
      </c>
      <c r="W5">
        <f>I6/$C$2</f>
        <v>9.5684425946761261E-5</v>
      </c>
      <c r="X5">
        <f>J6/$B$2</f>
        <v>8.7870442867085395E-5</v>
      </c>
      <c r="Y5">
        <f>K6/$D$2</f>
        <v>8.9215413564323147E-5</v>
      </c>
      <c r="Z5">
        <f>L6/$E$2</f>
        <v>9.0966370347930772E-5</v>
      </c>
      <c r="AA5">
        <f t="shared" ref="AA5" si="1">M6/$E$2</f>
        <v>9.0996781183599356E-5</v>
      </c>
      <c r="AB5">
        <f>N6/$E$2</f>
        <v>9.2473947712572082E-5</v>
      </c>
    </row>
    <row r="6" spans="1:28" x14ac:dyDescent="0.25">
      <c r="A6" t="s">
        <v>123</v>
      </c>
      <c r="B6">
        <v>1.4243633096177299</v>
      </c>
      <c r="C6">
        <v>8.8766950021880605E-4</v>
      </c>
      <c r="D6">
        <f>H95</f>
        <v>0.88081835191622704</v>
      </c>
      <c r="E6">
        <v>3.3869456247463299E-2</v>
      </c>
      <c r="F6">
        <v>5.0547678599935503E-3</v>
      </c>
      <c r="G6">
        <v>1.39060360075328</v>
      </c>
      <c r="H6">
        <v>1.4599056941082</v>
      </c>
      <c r="I6">
        <v>1.4854624390530899</v>
      </c>
      <c r="J6">
        <v>1.3683343530059699</v>
      </c>
      <c r="K6">
        <v>6.8416728225244698</v>
      </c>
      <c r="L6">
        <v>6.9546154710823904</v>
      </c>
      <c r="M6">
        <v>6.9569404585191803</v>
      </c>
      <c r="N6">
        <v>7.0698736794058199</v>
      </c>
      <c r="Q6" t="s">
        <v>179</v>
      </c>
      <c r="R6">
        <f>E6/$B$2</f>
        <v>2.1749977361848694E-6</v>
      </c>
    </row>
    <row r="7" spans="1:28" x14ac:dyDescent="0.25">
      <c r="Q7" t="s">
        <v>178</v>
      </c>
      <c r="R7">
        <f>F6/$B$2</f>
        <v>3.2460245514716307E-7</v>
      </c>
    </row>
    <row r="8" spans="1:28" x14ac:dyDescent="0.25">
      <c r="Q8" t="s">
        <v>183</v>
      </c>
      <c r="R8">
        <f>R5+S5+R6</f>
        <v>9.370046039574498E-5</v>
      </c>
    </row>
    <row r="9" spans="1:28" x14ac:dyDescent="0.25">
      <c r="Q9" t="s">
        <v>184</v>
      </c>
      <c r="R9">
        <f>R5+S5+R7</f>
        <v>9.1850065114707269E-5</v>
      </c>
    </row>
    <row r="11" spans="1:28" x14ac:dyDescent="0.25">
      <c r="A11" t="s">
        <v>295</v>
      </c>
      <c r="B11" t="s">
        <v>177</v>
      </c>
      <c r="R11" t="s">
        <v>170</v>
      </c>
      <c r="T11" t="s">
        <v>182</v>
      </c>
      <c r="U11" t="s">
        <v>132</v>
      </c>
      <c r="V11" t="s">
        <v>133</v>
      </c>
      <c r="W11" t="s">
        <v>180</v>
      </c>
      <c r="X11" t="s">
        <v>197</v>
      </c>
      <c r="Y11" t="s">
        <v>198</v>
      </c>
    </row>
    <row r="12" spans="1:28" x14ac:dyDescent="0.25">
      <c r="R12" t="s">
        <v>120</v>
      </c>
      <c r="S12" t="s">
        <v>121</v>
      </c>
    </row>
    <row r="13" spans="1:28" x14ac:dyDescent="0.25">
      <c r="B13" t="s">
        <v>120</v>
      </c>
      <c r="C13" t="s">
        <v>121</v>
      </c>
      <c r="D13" t="s">
        <v>122</v>
      </c>
      <c r="E13" t="s">
        <v>173</v>
      </c>
      <c r="F13" t="s">
        <v>174</v>
      </c>
      <c r="G13" t="s">
        <v>175</v>
      </c>
      <c r="H13" t="s">
        <v>176</v>
      </c>
      <c r="I13" t="s">
        <v>331</v>
      </c>
      <c r="J13" t="s">
        <v>293</v>
      </c>
      <c r="K13" t="s">
        <v>294</v>
      </c>
      <c r="L13" t="s">
        <v>332</v>
      </c>
      <c r="M13" t="s">
        <v>333</v>
      </c>
      <c r="N13" t="s">
        <v>334</v>
      </c>
      <c r="Q13" t="s">
        <v>296</v>
      </c>
      <c r="R13">
        <f>B14/$B$2</f>
        <v>80.414975498765102</v>
      </c>
      <c r="S13">
        <f>C14/$B$2</f>
        <v>7.7247649860169227</v>
      </c>
      <c r="T13">
        <f>D14/$G$2</f>
        <v>164.03939426668887</v>
      </c>
      <c r="U13">
        <f>G14/$B$2</f>
        <v>111.9484420130958</v>
      </c>
      <c r="V13">
        <f t="shared" ref="V13" si="2">H14/$B$2</f>
        <v>124.11924723696683</v>
      </c>
      <c r="W13">
        <f>I14/$C$2</f>
        <v>120.24331385455471</v>
      </c>
      <c r="X13">
        <f>J14/$B$2</f>
        <v>71.556915601613255</v>
      </c>
      <c r="Y13">
        <f>K14/$D$2</f>
        <v>72.652186328165328</v>
      </c>
      <c r="Z13">
        <f>L14/$E$2</f>
        <v>67.440649767976751</v>
      </c>
      <c r="AA13">
        <f t="shared" ref="AA13:AB13" si="3">M14/$E$2</f>
        <v>114.07114689686298</v>
      </c>
      <c r="AB13">
        <f t="shared" si="3"/>
        <v>108.64243583356787</v>
      </c>
    </row>
    <row r="14" spans="1:28" x14ac:dyDescent="0.25">
      <c r="A14" t="s">
        <v>123</v>
      </c>
      <c r="B14">
        <v>1252236.47316236</v>
      </c>
      <c r="C14">
        <v>120291.43081995301</v>
      </c>
      <c r="D14">
        <f>H99</f>
        <v>4303621.0800109198</v>
      </c>
      <c r="E14">
        <v>554466.05588378303</v>
      </c>
      <c r="F14">
        <v>-233033.58050780001</v>
      </c>
      <c r="G14">
        <v>1743281.2897474901</v>
      </c>
      <c r="H14">
        <v>1932807.2594385501</v>
      </c>
      <c r="I14">
        <v>1866729.35026642</v>
      </c>
      <c r="J14">
        <v>1114297.16999313</v>
      </c>
      <c r="K14">
        <v>5571486.6841929397</v>
      </c>
      <c r="L14">
        <v>5156012.9799868297</v>
      </c>
      <c r="M14">
        <v>8721035.6968044192</v>
      </c>
      <c r="N14">
        <v>8305996.6246239701</v>
      </c>
      <c r="Q14" t="s">
        <v>179</v>
      </c>
      <c r="R14">
        <f>E14/$B$2</f>
        <v>35.606193601909496</v>
      </c>
    </row>
    <row r="15" spans="1:28" x14ac:dyDescent="0.25">
      <c r="Q15" t="s">
        <v>178</v>
      </c>
      <c r="R15">
        <f>F14/$B$2</f>
        <v>-14.964737147130332</v>
      </c>
    </row>
    <row r="16" spans="1:28" x14ac:dyDescent="0.25">
      <c r="Q16" t="s">
        <v>183</v>
      </c>
      <c r="R16">
        <f>R13+S13+R14</f>
        <v>123.74593408669152</v>
      </c>
    </row>
    <row r="17" spans="1:28" x14ac:dyDescent="0.25">
      <c r="Q17" t="s">
        <v>184</v>
      </c>
      <c r="R17">
        <f>R13+S13+R15</f>
        <v>73.175003337651688</v>
      </c>
    </row>
    <row r="19" spans="1:28" x14ac:dyDescent="0.25">
      <c r="A19" t="s">
        <v>126</v>
      </c>
      <c r="B19" t="s">
        <v>127</v>
      </c>
      <c r="R19" t="s">
        <v>170</v>
      </c>
      <c r="T19" t="s">
        <v>182</v>
      </c>
      <c r="U19" t="s">
        <v>132</v>
      </c>
      <c r="V19" t="s">
        <v>133</v>
      </c>
      <c r="W19" t="s">
        <v>180</v>
      </c>
      <c r="X19" t="s">
        <v>197</v>
      </c>
      <c r="Y19" t="s">
        <v>198</v>
      </c>
    </row>
    <row r="20" spans="1:28" x14ac:dyDescent="0.25">
      <c r="R20" t="s">
        <v>120</v>
      </c>
      <c r="S20" t="s">
        <v>121</v>
      </c>
    </row>
    <row r="21" spans="1:28" x14ac:dyDescent="0.25">
      <c r="B21" t="s">
        <v>120</v>
      </c>
      <c r="C21" t="s">
        <v>121</v>
      </c>
      <c r="D21" t="s">
        <v>122</v>
      </c>
      <c r="E21" t="s">
        <v>173</v>
      </c>
      <c r="F21" t="s">
        <v>174</v>
      </c>
      <c r="G21" t="s">
        <v>175</v>
      </c>
      <c r="H21" t="s">
        <v>176</v>
      </c>
      <c r="I21" t="s">
        <v>331</v>
      </c>
      <c r="J21" t="s">
        <v>293</v>
      </c>
      <c r="K21" t="s">
        <v>294</v>
      </c>
      <c r="L21" t="s">
        <v>332</v>
      </c>
      <c r="M21" t="s">
        <v>333</v>
      </c>
      <c r="N21" t="s">
        <v>334</v>
      </c>
      <c r="Q21" t="s">
        <v>186</v>
      </c>
      <c r="R21">
        <f>B22/$B$2</f>
        <v>2.2161205619001E-2</v>
      </c>
      <c r="S21">
        <f>C22/$B$2</f>
        <v>6.3525594574590134E-4</v>
      </c>
      <c r="T21">
        <f>D22/$G$2</f>
        <v>2.5897061009561663E-2</v>
      </c>
      <c r="U21">
        <f>G22/$B$2</f>
        <v>2.6209018399159657E-2</v>
      </c>
      <c r="V21">
        <f t="shared" ref="V21" si="4">H22/$B$2</f>
        <v>3.0460063537122998E-2</v>
      </c>
      <c r="W21">
        <f>I22/$C$2</f>
        <v>3.0477806970161871E-2</v>
      </c>
      <c r="X21">
        <f>J22/$B$2</f>
        <v>4.7057504872179939E-2</v>
      </c>
      <c r="Y21">
        <f>K22/$D$2</f>
        <v>4.777778106852984E-2</v>
      </c>
      <c r="Z21">
        <f>L22/$E$2</f>
        <v>4.7626084850174236E-2</v>
      </c>
      <c r="AA21">
        <f t="shared" ref="AA21:AB21" si="5">M22/$E$2</f>
        <v>2.6716969749004765E-2</v>
      </c>
      <c r="AB21">
        <f t="shared" si="5"/>
        <v>2.640592260409631E-2</v>
      </c>
    </row>
    <row r="22" spans="1:28" x14ac:dyDescent="0.25">
      <c r="A22" t="s">
        <v>123</v>
      </c>
      <c r="B22">
        <v>345.098282916095</v>
      </c>
      <c r="C22">
        <v>9.8923199332254104</v>
      </c>
      <c r="D22">
        <f>H103</f>
        <v>679.41690573354299</v>
      </c>
      <c r="E22">
        <v>118.824776419201</v>
      </c>
      <c r="F22">
        <v>524.41083587676599</v>
      </c>
      <c r="G22">
        <v>408.13155213502603</v>
      </c>
      <c r="H22">
        <v>474.329592211516</v>
      </c>
      <c r="I22">
        <v>473.155762088975</v>
      </c>
      <c r="J22">
        <v>732.78793622046305</v>
      </c>
      <c r="K22">
        <v>3663.9402676916202</v>
      </c>
      <c r="L22">
        <v>3641.1379860407801</v>
      </c>
      <c r="M22">
        <v>2042.58178540258</v>
      </c>
      <c r="N22">
        <v>2018.80142263838</v>
      </c>
      <c r="Q22" t="s">
        <v>179</v>
      </c>
      <c r="R22">
        <f>E22/$B$2</f>
        <v>7.6305807163287989E-3</v>
      </c>
    </row>
    <row r="23" spans="1:28" x14ac:dyDescent="0.25">
      <c r="Q23" t="s">
        <v>178</v>
      </c>
      <c r="R23">
        <f>F22/$B$2</f>
        <v>3.36761349969475E-2</v>
      </c>
    </row>
    <row r="24" spans="1:28" x14ac:dyDescent="0.25">
      <c r="Q24" t="s">
        <v>183</v>
      </c>
      <c r="R24">
        <f>R21+S21+R22</f>
        <v>3.0427042281075702E-2</v>
      </c>
    </row>
    <row r="25" spans="1:28" x14ac:dyDescent="0.25">
      <c r="Q25" t="s">
        <v>184</v>
      </c>
      <c r="R25">
        <f>R21+S21+R23</f>
        <v>5.6472596561694399E-2</v>
      </c>
    </row>
    <row r="27" spans="1:28" x14ac:dyDescent="0.25">
      <c r="A27" t="s">
        <v>124</v>
      </c>
      <c r="B27" t="s">
        <v>125</v>
      </c>
      <c r="R27" t="s">
        <v>170</v>
      </c>
      <c r="T27" t="s">
        <v>182</v>
      </c>
      <c r="U27" t="s">
        <v>132</v>
      </c>
      <c r="V27" t="s">
        <v>133</v>
      </c>
      <c r="W27" t="s">
        <v>180</v>
      </c>
      <c r="X27" t="s">
        <v>197</v>
      </c>
      <c r="Y27" t="s">
        <v>198</v>
      </c>
    </row>
    <row r="28" spans="1:28" x14ac:dyDescent="0.25">
      <c r="R28" t="s">
        <v>120</v>
      </c>
      <c r="S28" t="s">
        <v>121</v>
      </c>
    </row>
    <row r="29" spans="1:28" x14ac:dyDescent="0.25">
      <c r="B29" t="s">
        <v>120</v>
      </c>
      <c r="C29" t="s">
        <v>121</v>
      </c>
      <c r="D29" t="s">
        <v>122</v>
      </c>
      <c r="E29" t="s">
        <v>173</v>
      </c>
      <c r="F29" t="s">
        <v>174</v>
      </c>
      <c r="G29" t="s">
        <v>175</v>
      </c>
      <c r="H29" t="s">
        <v>176</v>
      </c>
      <c r="I29" t="s">
        <v>331</v>
      </c>
      <c r="J29" t="s">
        <v>293</v>
      </c>
      <c r="K29" t="s">
        <v>294</v>
      </c>
      <c r="L29" t="s">
        <v>332</v>
      </c>
      <c r="M29" t="s">
        <v>333</v>
      </c>
      <c r="N29" t="s">
        <v>334</v>
      </c>
      <c r="Q29" t="s">
        <v>185</v>
      </c>
      <c r="R29">
        <f>B30/$B$2</f>
        <v>4.1708594770683742E-3</v>
      </c>
      <c r="S29">
        <f>C30/$B$2</f>
        <v>6.5991362895672279E-4</v>
      </c>
      <c r="T29">
        <f>D30/$G$2</f>
        <v>9.4144111426092865E-3</v>
      </c>
      <c r="U29">
        <f>G30/$B$2</f>
        <v>7.2134252448692471E-3</v>
      </c>
      <c r="V29">
        <f t="shared" ref="V29" si="6">H30/$B$2</f>
        <v>9.4112421279318632E-3</v>
      </c>
      <c r="W29">
        <f>I30/$C$2</f>
        <v>9.0226251457863008E-3</v>
      </c>
      <c r="X29">
        <f>J30/$B$2</f>
        <v>2.6083479875402542E-2</v>
      </c>
      <c r="Y29">
        <f>K30/$D$2</f>
        <v>2.6482722457642778E-2</v>
      </c>
      <c r="Z29">
        <f>L30/$E$2</f>
        <v>2.6039558070552533E-2</v>
      </c>
      <c r="AA29">
        <f t="shared" ref="AA29:AB29" si="7">M30/$E$2</f>
        <v>7.2644446212875398E-3</v>
      </c>
      <c r="AB29">
        <f t="shared" si="7"/>
        <v>6.7292703820282388E-3</v>
      </c>
    </row>
    <row r="30" spans="1:28" x14ac:dyDescent="0.25">
      <c r="A30" t="s">
        <v>123</v>
      </c>
      <c r="B30">
        <v>64.949374531614595</v>
      </c>
      <c r="C30">
        <v>10.2762938145673</v>
      </c>
      <c r="D30">
        <f>H107</f>
        <v>246.98980650558599</v>
      </c>
      <c r="E30">
        <v>72.575852825390299</v>
      </c>
      <c r="F30">
        <v>441.658020989683</v>
      </c>
      <c r="G30">
        <v>112.328756329648</v>
      </c>
      <c r="H30">
        <v>146.553556439738</v>
      </c>
      <c r="I30">
        <v>140.07264633827401</v>
      </c>
      <c r="J30">
        <v>406.17664364614598</v>
      </c>
      <c r="K30">
        <v>2030.8836249946901</v>
      </c>
      <c r="L30">
        <v>1990.7919017209899</v>
      </c>
      <c r="M30">
        <v>555.38567449478103</v>
      </c>
      <c r="N30">
        <v>514.47021277148997</v>
      </c>
      <c r="Q30" t="s">
        <v>179</v>
      </c>
      <c r="R30">
        <f>E30/$B$2</f>
        <v>4.6606096786313989E-3</v>
      </c>
    </row>
    <row r="31" spans="1:28" x14ac:dyDescent="0.25">
      <c r="Q31" t="s">
        <v>178</v>
      </c>
      <c r="R31">
        <f>F30/$B$2</f>
        <v>2.8361990484934221E-2</v>
      </c>
    </row>
    <row r="32" spans="1:28" x14ac:dyDescent="0.25">
      <c r="Q32" t="s">
        <v>183</v>
      </c>
      <c r="R32">
        <f>R29+S29+R30</f>
        <v>9.4913827846564956E-3</v>
      </c>
    </row>
    <row r="33" spans="1:28" x14ac:dyDescent="0.25">
      <c r="Q33" t="s">
        <v>184</v>
      </c>
      <c r="R33">
        <f>R29+S29+R31</f>
        <v>3.3192763590959316E-2</v>
      </c>
    </row>
    <row r="35" spans="1:28" x14ac:dyDescent="0.25">
      <c r="A35" t="s">
        <v>298</v>
      </c>
      <c r="B35" t="s">
        <v>129</v>
      </c>
      <c r="R35" t="s">
        <v>170</v>
      </c>
      <c r="T35" t="s">
        <v>182</v>
      </c>
      <c r="U35" t="s">
        <v>132</v>
      </c>
      <c r="V35" t="s">
        <v>133</v>
      </c>
      <c r="W35" t="s">
        <v>180</v>
      </c>
      <c r="X35" t="s">
        <v>197</v>
      </c>
      <c r="Y35" t="s">
        <v>198</v>
      </c>
    </row>
    <row r="36" spans="1:28" x14ac:dyDescent="0.25">
      <c r="Q36" t="s">
        <v>299</v>
      </c>
      <c r="R36" t="s">
        <v>120</v>
      </c>
      <c r="S36" t="s">
        <v>121</v>
      </c>
    </row>
    <row r="37" spans="1:28" x14ac:dyDescent="0.25">
      <c r="B37" t="s">
        <v>120</v>
      </c>
      <c r="C37" t="s">
        <v>121</v>
      </c>
      <c r="D37" t="s">
        <v>122</v>
      </c>
      <c r="E37" t="s">
        <v>173</v>
      </c>
      <c r="F37" t="s">
        <v>174</v>
      </c>
      <c r="G37" t="s">
        <v>175</v>
      </c>
      <c r="H37" t="s">
        <v>176</v>
      </c>
      <c r="I37" t="s">
        <v>331</v>
      </c>
      <c r="J37" t="s">
        <v>293</v>
      </c>
      <c r="K37" t="s">
        <v>294</v>
      </c>
      <c r="L37" t="s">
        <v>332</v>
      </c>
      <c r="M37" t="s">
        <v>333</v>
      </c>
      <c r="N37" t="s">
        <v>334</v>
      </c>
      <c r="Q37" t="s">
        <v>188</v>
      </c>
      <c r="R37">
        <f>B38/$B$2</f>
        <v>0.80669417942013255</v>
      </c>
      <c r="S37">
        <f>C38/$B$2</f>
        <v>1.0341225169081144E-3</v>
      </c>
      <c r="T37">
        <f>D38/$G$2</f>
        <v>1.967228244091916</v>
      </c>
      <c r="U37">
        <f>G38/$B$2</f>
        <v>0.65638448058120957</v>
      </c>
      <c r="V37">
        <f t="shared" ref="V37" si="8">H38/$B$2</f>
        <v>0.85818136848709048</v>
      </c>
      <c r="W37">
        <f>I38/$C$2</f>
        <v>0.88167632167449084</v>
      </c>
      <c r="X37">
        <f>J38/$B$2</f>
        <v>0.66363477341491039</v>
      </c>
      <c r="Y37">
        <f>K38/$D$2</f>
        <v>0.67379196294859911</v>
      </c>
      <c r="Z37">
        <f>L38/$E$2</f>
        <v>0.68619697768360899</v>
      </c>
      <c r="AA37">
        <f t="shared" ref="AA37:AB37" si="9">M38/$E$2</f>
        <v>0.66785250322464496</v>
      </c>
      <c r="AB37">
        <f t="shared" si="9"/>
        <v>0.67816752349756337</v>
      </c>
    </row>
    <row r="38" spans="1:28" x14ac:dyDescent="0.25">
      <c r="A38" t="s">
        <v>123</v>
      </c>
      <c r="B38">
        <v>12561.9869668826</v>
      </c>
      <c r="C38">
        <v>16.1035419753462</v>
      </c>
      <c r="D38">
        <f>H111</f>
        <v>51610.803479942202</v>
      </c>
      <c r="E38">
        <v>795.38123798958395</v>
      </c>
      <c r="F38">
        <v>948.850125039001</v>
      </c>
      <c r="G38">
        <v>10221.337280817101</v>
      </c>
      <c r="H38">
        <v>13363.7547427273</v>
      </c>
      <c r="I38">
        <v>13687.6722234678</v>
      </c>
      <c r="J38">
        <v>10334.2401458762</v>
      </c>
      <c r="K38">
        <v>51671.1628267821</v>
      </c>
      <c r="L38">
        <v>52461.542644335699</v>
      </c>
      <c r="M38">
        <v>51059.059887320996</v>
      </c>
      <c r="N38">
        <v>51847.6700000493</v>
      </c>
      <c r="Q38" t="s">
        <v>179</v>
      </c>
      <c r="R38">
        <f>E38/$B$2</f>
        <v>5.1077064225406074E-2</v>
      </c>
    </row>
    <row r="39" spans="1:28" x14ac:dyDescent="0.25">
      <c r="Q39" t="s">
        <v>178</v>
      </c>
      <c r="R39">
        <f>F38/$B$2</f>
        <v>6.0932388723929531E-2</v>
      </c>
    </row>
    <row r="40" spans="1:28" x14ac:dyDescent="0.25">
      <c r="Q40" t="s">
        <v>183</v>
      </c>
      <c r="R40">
        <f>R37+S37+R38</f>
        <v>0.85880536616244674</v>
      </c>
    </row>
    <row r="41" spans="1:28" x14ac:dyDescent="0.25">
      <c r="Q41" t="s">
        <v>184</v>
      </c>
      <c r="R41">
        <f>R37+S37+R39</f>
        <v>0.86866069066097018</v>
      </c>
    </row>
    <row r="43" spans="1:28" x14ac:dyDescent="0.25">
      <c r="A43" t="s">
        <v>118</v>
      </c>
      <c r="B43" t="s">
        <v>119</v>
      </c>
      <c r="R43" t="s">
        <v>170</v>
      </c>
      <c r="T43" t="s">
        <v>182</v>
      </c>
      <c r="U43" t="s">
        <v>132</v>
      </c>
      <c r="V43" t="s">
        <v>133</v>
      </c>
      <c r="W43" t="s">
        <v>180</v>
      </c>
      <c r="X43" t="s">
        <v>197</v>
      </c>
      <c r="Y43" t="s">
        <v>198</v>
      </c>
    </row>
    <row r="44" spans="1:28" x14ac:dyDescent="0.25">
      <c r="Q44" t="s">
        <v>300</v>
      </c>
      <c r="R44" t="s">
        <v>120</v>
      </c>
      <c r="S44" t="s">
        <v>121</v>
      </c>
    </row>
    <row r="45" spans="1:28" x14ac:dyDescent="0.25">
      <c r="B45" t="s">
        <v>120</v>
      </c>
      <c r="C45" t="s">
        <v>121</v>
      </c>
      <c r="D45" t="s">
        <v>122</v>
      </c>
      <c r="E45" t="s">
        <v>173</v>
      </c>
      <c r="F45" t="s">
        <v>174</v>
      </c>
      <c r="G45" t="s">
        <v>175</v>
      </c>
      <c r="H45" t="s">
        <v>176</v>
      </c>
      <c r="I45" t="s">
        <v>331</v>
      </c>
      <c r="J45" t="s">
        <v>293</v>
      </c>
      <c r="K45" t="s">
        <v>294</v>
      </c>
      <c r="L45" t="s">
        <v>332</v>
      </c>
      <c r="M45" t="s">
        <v>333</v>
      </c>
      <c r="N45" t="s">
        <v>334</v>
      </c>
      <c r="Q45" t="s">
        <v>188</v>
      </c>
      <c r="R45">
        <f>B46/$B$2</f>
        <v>6.168665078239103</v>
      </c>
      <c r="S45">
        <f>C46/$B$2</f>
        <v>0.91961136971740631</v>
      </c>
      <c r="T45">
        <f>D46/$G$2</f>
        <v>8.0902315440115213</v>
      </c>
      <c r="U45">
        <f>G46/$B$2</f>
        <v>9.5233971282896803</v>
      </c>
      <c r="V45">
        <f t="shared" ref="V45" si="10">H46/$B$2</f>
        <v>10.603466856681402</v>
      </c>
      <c r="W45">
        <f>I46/$C$2</f>
        <v>9.7781774743925762</v>
      </c>
      <c r="X45">
        <f>J46/$B$2</f>
        <v>7.2037146806923626</v>
      </c>
      <c r="Y45">
        <f>K46/$D$2</f>
        <v>7.3139769760019515</v>
      </c>
      <c r="Z45">
        <f>L46/$E$2</f>
        <v>6.3645274265465197</v>
      </c>
      <c r="AA45">
        <f t="shared" ref="AA45:AB45" si="11">M46/$E$2</f>
        <v>9.6922887162764013</v>
      </c>
      <c r="AB45">
        <f t="shared" si="11"/>
        <v>8.7201711727016686</v>
      </c>
    </row>
    <row r="46" spans="1:28" x14ac:dyDescent="0.25">
      <c r="A46" t="s">
        <v>123</v>
      </c>
      <c r="B46">
        <v>96059.562958053401</v>
      </c>
      <c r="C46">
        <v>14320.353779286001</v>
      </c>
      <c r="D46">
        <f>H115</f>
        <v>212249.57072429001</v>
      </c>
      <c r="E46">
        <v>54553.569136145503</v>
      </c>
      <c r="F46">
        <v>9529.5842386919303</v>
      </c>
      <c r="G46">
        <v>148300.05429321001</v>
      </c>
      <c r="H46">
        <v>165119.09451627699</v>
      </c>
      <c r="I46">
        <v>151802.294018955</v>
      </c>
      <c r="J46">
        <v>112177.541676384</v>
      </c>
      <c r="K46">
        <v>560887.805168377</v>
      </c>
      <c r="L46">
        <v>486584.66571207403</v>
      </c>
      <c r="M46">
        <v>741000.66649462003</v>
      </c>
      <c r="N46">
        <v>666679.75336598896</v>
      </c>
      <c r="Q46" t="s">
        <v>179</v>
      </c>
      <c r="R46">
        <f>E46/$B$2</f>
        <v>3.5032711628137809</v>
      </c>
    </row>
    <row r="47" spans="1:28" x14ac:dyDescent="0.25">
      <c r="Q47" t="s">
        <v>178</v>
      </c>
      <c r="R47">
        <f>F46/$B$2</f>
        <v>0.61196211697347003</v>
      </c>
    </row>
    <row r="48" spans="1:28" x14ac:dyDescent="0.25">
      <c r="Q48" t="s">
        <v>183</v>
      </c>
      <c r="R48">
        <f>R45+S45+R46</f>
        <v>10.591547610770291</v>
      </c>
    </row>
    <row r="49" spans="1:28" x14ac:dyDescent="0.25">
      <c r="Q49" t="s">
        <v>184</v>
      </c>
      <c r="R49">
        <f>R45+S45+R47</f>
        <v>7.7002385649299798</v>
      </c>
    </row>
    <row r="51" spans="1:28" x14ac:dyDescent="0.25">
      <c r="A51" t="s">
        <v>128</v>
      </c>
      <c r="B51" t="s">
        <v>129</v>
      </c>
      <c r="R51" t="s">
        <v>170</v>
      </c>
      <c r="T51" t="s">
        <v>182</v>
      </c>
      <c r="U51" t="s">
        <v>132</v>
      </c>
      <c r="V51" t="s">
        <v>133</v>
      </c>
      <c r="W51" t="s">
        <v>180</v>
      </c>
      <c r="X51" t="s">
        <v>197</v>
      </c>
      <c r="Y51" t="s">
        <v>198</v>
      </c>
    </row>
    <row r="52" spans="1:28" x14ac:dyDescent="0.25">
      <c r="Q52" t="s">
        <v>187</v>
      </c>
      <c r="R52" t="s">
        <v>120</v>
      </c>
      <c r="S52" t="s">
        <v>121</v>
      </c>
    </row>
    <row r="53" spans="1:28" x14ac:dyDescent="0.25">
      <c r="B53" t="s">
        <v>120</v>
      </c>
      <c r="C53" t="s">
        <v>121</v>
      </c>
      <c r="D53" t="s">
        <v>122</v>
      </c>
      <c r="E53" t="s">
        <v>173</v>
      </c>
      <c r="F53" t="s">
        <v>174</v>
      </c>
      <c r="G53" t="s">
        <v>175</v>
      </c>
      <c r="H53" t="s">
        <v>176</v>
      </c>
      <c r="I53" t="s">
        <v>331</v>
      </c>
      <c r="J53" t="s">
        <v>293</v>
      </c>
      <c r="K53" t="s">
        <v>294</v>
      </c>
      <c r="L53" t="s">
        <v>332</v>
      </c>
      <c r="M53" t="s">
        <v>333</v>
      </c>
      <c r="N53" t="s">
        <v>334</v>
      </c>
      <c r="Q53" t="s">
        <v>188</v>
      </c>
      <c r="R53">
        <f>B54/$B$2</f>
        <v>1.81883682060732</v>
      </c>
      <c r="S53">
        <f>C54/$B$2</f>
        <v>3.1947967330751829E-2</v>
      </c>
      <c r="T53">
        <f>D54/$G$2</f>
        <v>3.206334039688465</v>
      </c>
      <c r="U53">
        <f>G54/$B$2</f>
        <v>1.7892386408362542</v>
      </c>
      <c r="V53">
        <f t="shared" ref="V53" si="12">H54/$B$2</f>
        <v>2.1528369097944027</v>
      </c>
      <c r="W53">
        <f>I54/$C$2</f>
        <v>2.1849916569023229</v>
      </c>
      <c r="X53">
        <f>J54/$B$2</f>
        <v>8.8483736824391315</v>
      </c>
      <c r="Y53">
        <f>K54/$D$2</f>
        <v>8.9838099868850989</v>
      </c>
      <c r="Z53">
        <f>L54/$E$2</f>
        <v>9.0145725222568682</v>
      </c>
      <c r="AA53">
        <f t="shared" ref="AA53" si="13">M54/$E$2</f>
        <v>1.822187682234268</v>
      </c>
      <c r="AB53">
        <f>N54/$E$2</f>
        <v>1.8219243891179977</v>
      </c>
    </row>
    <row r="54" spans="1:28" x14ac:dyDescent="0.25">
      <c r="A54" t="s">
        <v>123</v>
      </c>
      <c r="B54">
        <v>28323.254361124898</v>
      </c>
      <c r="C54">
        <v>497.49949790858699</v>
      </c>
      <c r="D54">
        <f>H119</f>
        <v>84119.103368098396</v>
      </c>
      <c r="E54">
        <v>4687.3269609866202</v>
      </c>
      <c r="F54">
        <v>142162.13886652701</v>
      </c>
      <c r="G54">
        <v>27862.346178057502</v>
      </c>
      <c r="H54">
        <v>33524.363869962202</v>
      </c>
      <c r="I54">
        <v>33921.1214767458</v>
      </c>
      <c r="J54">
        <v>137788.467690205</v>
      </c>
      <c r="K54">
        <v>688942.48397650197</v>
      </c>
      <c r="L54">
        <v>689187.50180635205</v>
      </c>
      <c r="M54">
        <v>139310.98490147101</v>
      </c>
      <c r="N54">
        <v>139290.85545832801</v>
      </c>
      <c r="Q54" t="s">
        <v>179</v>
      </c>
      <c r="R54">
        <f>E54/$B$2</f>
        <v>0.30100647186114082</v>
      </c>
    </row>
    <row r="55" spans="1:28" x14ac:dyDescent="0.25">
      <c r="Q55" t="s">
        <v>178</v>
      </c>
      <c r="R55">
        <f>F54/$B$2</f>
        <v>9.1292380942505797</v>
      </c>
    </row>
    <row r="56" spans="1:28" x14ac:dyDescent="0.25">
      <c r="Q56" t="s">
        <v>183</v>
      </c>
      <c r="R56">
        <f>R53+S53+R54</f>
        <v>2.1517912597992126</v>
      </c>
    </row>
    <row r="57" spans="1:28" x14ac:dyDescent="0.25">
      <c r="Q57" t="s">
        <v>184</v>
      </c>
      <c r="R57">
        <f>R53+S53+R55</f>
        <v>10.980022882188651</v>
      </c>
    </row>
    <row r="59" spans="1:28" x14ac:dyDescent="0.25">
      <c r="A59" t="s">
        <v>301</v>
      </c>
      <c r="B59" t="s">
        <v>129</v>
      </c>
      <c r="R59" t="s">
        <v>170</v>
      </c>
      <c r="T59" t="s">
        <v>182</v>
      </c>
      <c r="U59" t="s">
        <v>132</v>
      </c>
      <c r="V59" t="s">
        <v>133</v>
      </c>
      <c r="W59" t="s">
        <v>180</v>
      </c>
      <c r="X59" t="s">
        <v>197</v>
      </c>
      <c r="Y59" t="s">
        <v>198</v>
      </c>
    </row>
    <row r="60" spans="1:28" x14ac:dyDescent="0.25">
      <c r="Q60" t="s">
        <v>307</v>
      </c>
      <c r="R60" t="s">
        <v>120</v>
      </c>
      <c r="S60" t="s">
        <v>121</v>
      </c>
    </row>
    <row r="61" spans="1:28" x14ac:dyDescent="0.25">
      <c r="B61" t="s">
        <v>120</v>
      </c>
      <c r="C61" t="s">
        <v>121</v>
      </c>
      <c r="D61" t="s">
        <v>122</v>
      </c>
      <c r="E61" t="s">
        <v>173</v>
      </c>
      <c r="F61" t="s">
        <v>174</v>
      </c>
      <c r="G61" t="s">
        <v>175</v>
      </c>
      <c r="H61" t="s">
        <v>176</v>
      </c>
      <c r="I61" t="s">
        <v>331</v>
      </c>
      <c r="J61" t="s">
        <v>293</v>
      </c>
      <c r="K61" t="s">
        <v>294</v>
      </c>
      <c r="L61" t="s">
        <v>332</v>
      </c>
      <c r="M61" t="s">
        <v>333</v>
      </c>
      <c r="N61" t="s">
        <v>334</v>
      </c>
      <c r="Q61" t="s">
        <v>188</v>
      </c>
      <c r="R61">
        <f>B62/$B$2</f>
        <v>2260.4737984340345</v>
      </c>
      <c r="S61">
        <f>C62/$B$2</f>
        <v>14.845114301243949</v>
      </c>
      <c r="T61">
        <f>D62/$G$2</f>
        <v>5735.9988841865288</v>
      </c>
      <c r="U61">
        <f>G62/$B$2</f>
        <v>1928.8445434322234</v>
      </c>
      <c r="V61">
        <f t="shared" ref="V61" si="14">H62/$B$2</f>
        <v>2507.7700021568016</v>
      </c>
      <c r="W61">
        <f>I62/$C$2</f>
        <v>2561.8002971875148</v>
      </c>
      <c r="X61">
        <f>J62/$B$2</f>
        <v>1924.2910244033849</v>
      </c>
      <c r="Y61">
        <f>K62/$D$2</f>
        <v>1953.7436058399803</v>
      </c>
      <c r="Z61">
        <f>L62/$E$2</f>
        <v>1974.217067807115</v>
      </c>
      <c r="AA61">
        <f t="shared" ref="AA61:AB61" si="15">M62/$E$2</f>
        <v>1963.1491283567004</v>
      </c>
      <c r="AB61">
        <f t="shared" si="15"/>
        <v>1977.5422705369647</v>
      </c>
    </row>
    <row r="62" spans="1:28" x14ac:dyDescent="0.25">
      <c r="A62" t="s">
        <v>123</v>
      </c>
      <c r="B62">
        <v>35200504.874498501</v>
      </c>
      <c r="C62">
        <v>231170.79201954501</v>
      </c>
      <c r="D62">
        <f>H123</f>
        <v>150485594.16631001</v>
      </c>
      <c r="E62">
        <v>3639640.3977450798</v>
      </c>
      <c r="F62">
        <v>3576084.9990419</v>
      </c>
      <c r="G62">
        <v>30036314.422344401</v>
      </c>
      <c r="H62">
        <v>39051445.872186102</v>
      </c>
      <c r="I62">
        <v>39770924.893717296</v>
      </c>
      <c r="J62">
        <v>29965406.204393901</v>
      </c>
      <c r="K62">
        <v>149826963.707555</v>
      </c>
      <c r="L62">
        <v>150934026.6137</v>
      </c>
      <c r="M62">
        <v>150087853.87271401</v>
      </c>
      <c r="N62">
        <v>151188247.00592899</v>
      </c>
      <c r="Q62" t="s">
        <v>179</v>
      </c>
      <c r="R62">
        <f>E62/$B$2</f>
        <v>233.72709522655657</v>
      </c>
    </row>
    <row r="63" spans="1:28" x14ac:dyDescent="0.25">
      <c r="Q63" t="s">
        <v>178</v>
      </c>
      <c r="R63">
        <f>F62/$B$2</f>
        <v>229.6457528131514</v>
      </c>
    </row>
    <row r="64" spans="1:28" x14ac:dyDescent="0.25">
      <c r="Q64" t="s">
        <v>183</v>
      </c>
      <c r="R64">
        <f>R61+S61+R62</f>
        <v>2509.0460079618351</v>
      </c>
    </row>
    <row r="65" spans="1:28" x14ac:dyDescent="0.25">
      <c r="Q65" t="s">
        <v>184</v>
      </c>
      <c r="R65">
        <f>R61+S61+R63</f>
        <v>2504.9646655484298</v>
      </c>
    </row>
    <row r="67" spans="1:28" x14ac:dyDescent="0.25">
      <c r="A67" t="s">
        <v>302</v>
      </c>
      <c r="B67" t="s">
        <v>303</v>
      </c>
      <c r="R67" t="s">
        <v>170</v>
      </c>
      <c r="T67" t="s">
        <v>182</v>
      </c>
      <c r="U67" t="s">
        <v>132</v>
      </c>
      <c r="V67" t="s">
        <v>133</v>
      </c>
      <c r="W67" t="s">
        <v>180</v>
      </c>
      <c r="X67" t="s">
        <v>197</v>
      </c>
      <c r="Y67" t="s">
        <v>198</v>
      </c>
    </row>
    <row r="68" spans="1:28" x14ac:dyDescent="0.25">
      <c r="Q68" t="s">
        <v>308</v>
      </c>
      <c r="R68" t="s">
        <v>120</v>
      </c>
      <c r="S68" t="s">
        <v>121</v>
      </c>
    </row>
    <row r="69" spans="1:28" x14ac:dyDescent="0.25">
      <c r="B69" t="s">
        <v>120</v>
      </c>
      <c r="C69" t="s">
        <v>121</v>
      </c>
      <c r="D69" t="s">
        <v>122</v>
      </c>
      <c r="E69" t="s">
        <v>173</v>
      </c>
      <c r="F69" t="s">
        <v>174</v>
      </c>
      <c r="G69" t="s">
        <v>175</v>
      </c>
      <c r="H69" t="s">
        <v>176</v>
      </c>
      <c r="I69" t="s">
        <v>331</v>
      </c>
      <c r="J69" t="s">
        <v>293</v>
      </c>
      <c r="K69" t="s">
        <v>294</v>
      </c>
      <c r="L69" t="s">
        <v>332</v>
      </c>
      <c r="M69" t="s">
        <v>333</v>
      </c>
      <c r="N69" t="s">
        <v>334</v>
      </c>
      <c r="Q69" t="s">
        <v>188</v>
      </c>
      <c r="R69">
        <f>B70/$B$2</f>
        <v>5.9371033263232579E-7</v>
      </c>
      <c r="S69">
        <f>C70/$B$2</f>
        <v>3.9286203217622713E-13</v>
      </c>
      <c r="T69">
        <f>D70/$G$2</f>
        <v>4.1120340609315922E-7</v>
      </c>
      <c r="U69">
        <f>G70/$B$2</f>
        <v>5.126101671198143E-7</v>
      </c>
      <c r="V69">
        <f t="shared" ref="V69" si="16">H70/$B$2</f>
        <v>5.9371729727778635E-7</v>
      </c>
      <c r="W69">
        <f>I70/$C$2</f>
        <v>6.1381267955403556E-7</v>
      </c>
      <c r="X69">
        <f>J70/$B$2</f>
        <v>5.1260515728980792E-7</v>
      </c>
      <c r="Y69">
        <f>K70/$D$2</f>
        <v>5.2045125974115324E-7</v>
      </c>
      <c r="Z69">
        <f>L70/$E$2</f>
        <v>5.3149314199416343E-7</v>
      </c>
      <c r="AA69">
        <f t="shared" ref="AA69:AB69" si="17">M70/$E$2</f>
        <v>5.2205283016281195E-7</v>
      </c>
      <c r="AB69">
        <f t="shared" si="17"/>
        <v>5.3149823587070473E-7</v>
      </c>
    </row>
    <row r="70" spans="1:28" x14ac:dyDescent="0.25">
      <c r="A70" t="s">
        <v>123</v>
      </c>
      <c r="B70">
        <v>9.2453641676104505E-3</v>
      </c>
      <c r="C70" s="49">
        <v>6.1177182802140003E-9</v>
      </c>
      <c r="D70">
        <f>H127</f>
        <v>1.07880406078418E-2</v>
      </c>
      <c r="E70" s="49">
        <v>1.02499269863818E-7</v>
      </c>
      <c r="F70" s="49">
        <v>5.1387836475768003E-9</v>
      </c>
      <c r="G70">
        <v>7.9824577922198298E-3</v>
      </c>
      <c r="H70">
        <v>9.2454726223231993E-3</v>
      </c>
      <c r="I70">
        <v>9.5291963250045807E-3</v>
      </c>
      <c r="J70">
        <v>7.9823797782452004E-3</v>
      </c>
      <c r="K70">
        <v>3.9911906440386703E-2</v>
      </c>
      <c r="L70">
        <v>4.0634032268727097E-2</v>
      </c>
      <c r="M70">
        <v>3.9912295890073703E-2</v>
      </c>
      <c r="N70">
        <v>4.06344217088297E-2</v>
      </c>
      <c r="Q70" t="s">
        <v>179</v>
      </c>
      <c r="R70">
        <f>E70/$B$2</f>
        <v>6.5822042812129059E-12</v>
      </c>
    </row>
    <row r="71" spans="1:28" x14ac:dyDescent="0.25">
      <c r="Q71" t="s">
        <v>178</v>
      </c>
      <c r="R71">
        <f>F70/$B$2</f>
        <v>3.2999770408361579E-13</v>
      </c>
    </row>
    <row r="72" spans="1:28" x14ac:dyDescent="0.25">
      <c r="Q72" t="s">
        <v>183</v>
      </c>
      <c r="R72">
        <f>R69+S69+R70</f>
        <v>5.9371730769863915E-7</v>
      </c>
    </row>
    <row r="73" spans="1:28" x14ac:dyDescent="0.25">
      <c r="Q73" t="s">
        <v>184</v>
      </c>
      <c r="R73">
        <f>R69+S69+R71</f>
        <v>5.9371105549206198E-7</v>
      </c>
    </row>
    <row r="75" spans="1:28" x14ac:dyDescent="0.25">
      <c r="A75" t="s">
        <v>304</v>
      </c>
      <c r="B75" t="s">
        <v>305</v>
      </c>
      <c r="R75" t="s">
        <v>170</v>
      </c>
      <c r="T75" t="s">
        <v>182</v>
      </c>
      <c r="U75" t="s">
        <v>132</v>
      </c>
      <c r="V75" t="s">
        <v>133</v>
      </c>
      <c r="W75" t="s">
        <v>180</v>
      </c>
      <c r="X75" t="s">
        <v>197</v>
      </c>
      <c r="Y75" t="s">
        <v>198</v>
      </c>
    </row>
    <row r="76" spans="1:28" x14ac:dyDescent="0.25">
      <c r="Q76" t="s">
        <v>309</v>
      </c>
      <c r="R76" t="s">
        <v>120</v>
      </c>
      <c r="S76" t="s">
        <v>121</v>
      </c>
    </row>
    <row r="77" spans="1:28" x14ac:dyDescent="0.25">
      <c r="B77" t="s">
        <v>120</v>
      </c>
      <c r="C77" t="s">
        <v>121</v>
      </c>
      <c r="D77" t="s">
        <v>122</v>
      </c>
      <c r="E77" t="s">
        <v>173</v>
      </c>
      <c r="F77" t="s">
        <v>174</v>
      </c>
      <c r="G77" t="s">
        <v>175</v>
      </c>
      <c r="H77" t="s">
        <v>176</v>
      </c>
      <c r="I77" t="s">
        <v>331</v>
      </c>
      <c r="J77" t="s">
        <v>293</v>
      </c>
      <c r="K77" t="s">
        <v>294</v>
      </c>
      <c r="L77" t="s">
        <v>332</v>
      </c>
      <c r="M77" t="s">
        <v>333</v>
      </c>
      <c r="N77" t="s">
        <v>334</v>
      </c>
      <c r="Q77" t="s">
        <v>188</v>
      </c>
      <c r="R77">
        <f>B78/$B$2</f>
        <v>1.7062314655994664E-3</v>
      </c>
      <c r="S77">
        <f>C78/$B$2</f>
        <v>5.522452898197671E-5</v>
      </c>
      <c r="T77">
        <f>D78/$G$2</f>
        <v>2.2709857215582638E-3</v>
      </c>
      <c r="U77">
        <f>G78/$B$2</f>
        <v>1.9016052214742187E-3</v>
      </c>
      <c r="V77">
        <f t="shared" ref="V77" si="18">H78/$B$2</f>
        <v>2.1300811602872299E-3</v>
      </c>
      <c r="W77">
        <f>I78/$C$2</f>
        <v>2.1383345385489671E-3</v>
      </c>
      <c r="X77">
        <f>J78/$B$2</f>
        <v>7.541783036534769E-3</v>
      </c>
      <c r="Y77">
        <f>K78/$D$2</f>
        <v>7.6572204158442837E-3</v>
      </c>
      <c r="Z77">
        <f>L78/$E$2</f>
        <v>7.6625425379588724E-3</v>
      </c>
      <c r="AA77">
        <f t="shared" ref="AA77:AB77" si="19">M78/$E$2</f>
        <v>1.937824454415908E-3</v>
      </c>
      <c r="AB77">
        <f t="shared" si="19"/>
        <v>1.916840074618313E-3</v>
      </c>
    </row>
    <row r="78" spans="1:28" x14ac:dyDescent="0.25">
      <c r="A78" t="s">
        <v>123</v>
      </c>
      <c r="B78">
        <v>26.5697435039787</v>
      </c>
      <c r="C78">
        <v>0.85996630572255806</v>
      </c>
      <c r="D78">
        <f>H131</f>
        <v>59.579968990940301</v>
      </c>
      <c r="E78">
        <v>5.6976122515275698</v>
      </c>
      <c r="F78">
        <v>115.516603920766</v>
      </c>
      <c r="G78">
        <v>29.612138797736399</v>
      </c>
      <c r="H78">
        <v>33.170007242601599</v>
      </c>
      <c r="I78">
        <v>33.196788377157297</v>
      </c>
      <c r="J78">
        <v>117.442002965866</v>
      </c>
      <c r="K78">
        <v>587.21015486175099</v>
      </c>
      <c r="L78">
        <v>585.82129504002899</v>
      </c>
      <c r="M78">
        <v>148.15171672098299</v>
      </c>
      <c r="N78">
        <v>146.54740633866001</v>
      </c>
      <c r="Q78" t="s">
        <v>179</v>
      </c>
      <c r="R78">
        <f>E78/$B$2</f>
        <v>3.6588404780368383E-4</v>
      </c>
    </row>
    <row r="79" spans="1:28" x14ac:dyDescent="0.25">
      <c r="Q79" t="s">
        <v>178</v>
      </c>
      <c r="R79">
        <f>F78/$B$2</f>
        <v>7.4181395232244939E-3</v>
      </c>
    </row>
    <row r="80" spans="1:28" x14ac:dyDescent="0.25">
      <c r="Q80" t="s">
        <v>183</v>
      </c>
      <c r="R80">
        <f>R77+S77+R78</f>
        <v>2.1273400423851268E-3</v>
      </c>
    </row>
    <row r="81" spans="1:28" x14ac:dyDescent="0.25">
      <c r="Q81" t="s">
        <v>184</v>
      </c>
      <c r="R81">
        <f>R77+S77+R79</f>
        <v>9.1795955178059375E-3</v>
      </c>
    </row>
    <row r="83" spans="1:28" x14ac:dyDescent="0.25">
      <c r="A83" t="s">
        <v>306</v>
      </c>
      <c r="B83" t="s">
        <v>129</v>
      </c>
      <c r="R83" t="s">
        <v>170</v>
      </c>
      <c r="T83" t="s">
        <v>182</v>
      </c>
      <c r="U83" t="s">
        <v>132</v>
      </c>
      <c r="V83" t="s">
        <v>133</v>
      </c>
      <c r="W83" t="s">
        <v>180</v>
      </c>
      <c r="X83" t="s">
        <v>197</v>
      </c>
      <c r="Y83" t="s">
        <v>198</v>
      </c>
    </row>
    <row r="84" spans="1:28" x14ac:dyDescent="0.25">
      <c r="Q84" t="s">
        <v>310</v>
      </c>
      <c r="R84" t="s">
        <v>120</v>
      </c>
      <c r="S84" t="s">
        <v>121</v>
      </c>
    </row>
    <row r="85" spans="1:28" x14ac:dyDescent="0.25">
      <c r="B85" t="s">
        <v>120</v>
      </c>
      <c r="C85" t="s">
        <v>121</v>
      </c>
      <c r="D85" t="s">
        <v>122</v>
      </c>
      <c r="E85" t="s">
        <v>173</v>
      </c>
      <c r="F85" t="s">
        <v>174</v>
      </c>
      <c r="G85" t="s">
        <v>175</v>
      </c>
      <c r="H85" t="s">
        <v>176</v>
      </c>
      <c r="I85" t="s">
        <v>331</v>
      </c>
      <c r="J85" t="s">
        <v>293</v>
      </c>
      <c r="K85" t="s">
        <v>294</v>
      </c>
      <c r="L85" t="s">
        <v>332</v>
      </c>
      <c r="M85" t="s">
        <v>333</v>
      </c>
      <c r="N85" t="s">
        <v>334</v>
      </c>
      <c r="Q85" t="s">
        <v>188</v>
      </c>
      <c r="R85">
        <f>B86/$B$2</f>
        <v>2.2761863720975932E-2</v>
      </c>
      <c r="S85">
        <f>C86/$B$2</f>
        <v>1.0935251573620006E-4</v>
      </c>
      <c r="T85">
        <f>D86/$G$2</f>
        <v>3.3535376386439678E-2</v>
      </c>
      <c r="U85">
        <f>G86/$B$2</f>
        <v>8.7143056671282373E-2</v>
      </c>
      <c r="V85">
        <f t="shared" ref="V85" si="20">H86/$B$2</f>
        <v>0.10813569188967248</v>
      </c>
      <c r="W85">
        <f>I86/$C$2</f>
        <v>0.10836240551659816</v>
      </c>
      <c r="X85">
        <f>J86/$B$2</f>
        <v>3.2965554908565849E-2</v>
      </c>
      <c r="Y85">
        <f>K86/$D$2</f>
        <v>3.3470133958835795E-2</v>
      </c>
      <c r="Z85">
        <f>L86/$E$2</f>
        <v>3.3140966443935063E-2</v>
      </c>
      <c r="AA85">
        <f t="shared" ref="AA85:AB85" si="21">M86/$E$2</f>
        <v>8.8752163081796134E-2</v>
      </c>
      <c r="AB85">
        <f t="shared" si="21"/>
        <v>8.8313650469129631E-2</v>
      </c>
    </row>
    <row r="86" spans="1:28" x14ac:dyDescent="0.25">
      <c r="A86" t="s">
        <v>123</v>
      </c>
      <c r="B86">
        <v>354.45183899850701</v>
      </c>
      <c r="C86">
        <v>1.70285705849694</v>
      </c>
      <c r="D86">
        <f>H135</f>
        <v>879.81032475739698</v>
      </c>
      <c r="E86">
        <v>1328.18356753951</v>
      </c>
      <c r="F86">
        <v>273.65480173744697</v>
      </c>
      <c r="G86">
        <v>1357.00736423541</v>
      </c>
      <c r="H86">
        <v>1683.90845853052</v>
      </c>
      <c r="I86">
        <v>1682.2830006829799</v>
      </c>
      <c r="J86">
        <v>513.34555483607096</v>
      </c>
      <c r="K86">
        <v>2566.7280655188601</v>
      </c>
      <c r="L86">
        <v>2533.7130312670101</v>
      </c>
      <c r="M86">
        <v>6785.33356997603</v>
      </c>
      <c r="N86">
        <v>6751.80814086799</v>
      </c>
      <c r="Q86" t="s">
        <v>179</v>
      </c>
      <c r="R86">
        <f>E86/$B$2</f>
        <v>8.529207648123191E-2</v>
      </c>
    </row>
    <row r="87" spans="1:28" x14ac:dyDescent="0.25">
      <c r="Q87" t="s">
        <v>178</v>
      </c>
      <c r="R87">
        <f>F86/$B$2</f>
        <v>1.7573313546173173E-2</v>
      </c>
    </row>
    <row r="88" spans="1:28" x14ac:dyDescent="0.25">
      <c r="Q88" t="s">
        <v>183</v>
      </c>
      <c r="R88">
        <f>R85+S85+R86</f>
        <v>0.10816329271794405</v>
      </c>
    </row>
    <row r="89" spans="1:28" x14ac:dyDescent="0.25">
      <c r="Q89" t="s">
        <v>184</v>
      </c>
      <c r="R89">
        <f>R85+S85+R87</f>
        <v>4.0444529782885305E-2</v>
      </c>
    </row>
    <row r="93" spans="1:28" x14ac:dyDescent="0.25">
      <c r="A93" t="s">
        <v>291</v>
      </c>
      <c r="B93" t="s">
        <v>292</v>
      </c>
      <c r="G93" t="s">
        <v>291</v>
      </c>
      <c r="H93" t="s">
        <v>292</v>
      </c>
    </row>
    <row r="94" spans="1:28" x14ac:dyDescent="0.25">
      <c r="H94" t="s">
        <v>383</v>
      </c>
    </row>
    <row r="95" spans="1:28" x14ac:dyDescent="0.25">
      <c r="B95" t="s">
        <v>333</v>
      </c>
      <c r="C95" t="s">
        <v>334</v>
      </c>
      <c r="G95" t="s">
        <v>123</v>
      </c>
      <c r="H95">
        <v>0.88081835191622704</v>
      </c>
    </row>
    <row r="96" spans="1:28" x14ac:dyDescent="0.25">
      <c r="A96" t="s">
        <v>123</v>
      </c>
      <c r="B96">
        <v>6.9569404585191803</v>
      </c>
      <c r="C96">
        <v>7.0698736794058199</v>
      </c>
    </row>
    <row r="97" spans="1:8" x14ac:dyDescent="0.25">
      <c r="G97" t="s">
        <v>295</v>
      </c>
      <c r="H97" t="s">
        <v>177</v>
      </c>
    </row>
    <row r="98" spans="1:8" x14ac:dyDescent="0.25">
      <c r="A98" t="s">
        <v>295</v>
      </c>
      <c r="B98" t="s">
        <v>177</v>
      </c>
      <c r="H98" t="s">
        <v>383</v>
      </c>
    </row>
    <row r="99" spans="1:8" x14ac:dyDescent="0.25">
      <c r="G99" t="s">
        <v>123</v>
      </c>
      <c r="H99">
        <v>4303621.0800109198</v>
      </c>
    </row>
    <row r="100" spans="1:8" x14ac:dyDescent="0.25">
      <c r="B100" t="s">
        <v>333</v>
      </c>
      <c r="C100" t="s">
        <v>334</v>
      </c>
    </row>
    <row r="101" spans="1:8" x14ac:dyDescent="0.25">
      <c r="A101" t="s">
        <v>123</v>
      </c>
      <c r="B101">
        <v>8721035.6968044192</v>
      </c>
      <c r="C101">
        <v>8305996.6246239701</v>
      </c>
      <c r="G101" t="s">
        <v>126</v>
      </c>
      <c r="H101" t="s">
        <v>127</v>
      </c>
    </row>
    <row r="102" spans="1:8" x14ac:dyDescent="0.25">
      <c r="H102" t="s">
        <v>383</v>
      </c>
    </row>
    <row r="103" spans="1:8" x14ac:dyDescent="0.25">
      <c r="A103" t="s">
        <v>126</v>
      </c>
      <c r="B103" t="s">
        <v>127</v>
      </c>
      <c r="G103" t="s">
        <v>123</v>
      </c>
      <c r="H103">
        <v>679.41690573354299</v>
      </c>
    </row>
    <row r="105" spans="1:8" x14ac:dyDescent="0.25">
      <c r="B105" t="s">
        <v>333</v>
      </c>
      <c r="C105" t="s">
        <v>334</v>
      </c>
      <c r="G105" t="s">
        <v>124</v>
      </c>
      <c r="H105" t="s">
        <v>125</v>
      </c>
    </row>
    <row r="106" spans="1:8" x14ac:dyDescent="0.25">
      <c r="A106" t="s">
        <v>123</v>
      </c>
      <c r="B106">
        <v>2042.58178540258</v>
      </c>
      <c r="C106">
        <v>2018.80142263838</v>
      </c>
      <c r="H106" t="s">
        <v>383</v>
      </c>
    </row>
    <row r="107" spans="1:8" x14ac:dyDescent="0.25">
      <c r="G107" t="s">
        <v>123</v>
      </c>
      <c r="H107">
        <v>246.98980650558599</v>
      </c>
    </row>
    <row r="108" spans="1:8" x14ac:dyDescent="0.25">
      <c r="A108" t="s">
        <v>124</v>
      </c>
      <c r="B108" t="s">
        <v>125</v>
      </c>
    </row>
    <row r="109" spans="1:8" x14ac:dyDescent="0.25">
      <c r="G109" t="s">
        <v>298</v>
      </c>
      <c r="H109" t="s">
        <v>129</v>
      </c>
    </row>
    <row r="110" spans="1:8" x14ac:dyDescent="0.25">
      <c r="B110" t="s">
        <v>333</v>
      </c>
      <c r="C110" t="s">
        <v>334</v>
      </c>
      <c r="H110" t="s">
        <v>383</v>
      </c>
    </row>
    <row r="111" spans="1:8" x14ac:dyDescent="0.25">
      <c r="A111" t="s">
        <v>123</v>
      </c>
      <c r="B111">
        <v>555.38567449478103</v>
      </c>
      <c r="C111">
        <v>514.47021277148997</v>
      </c>
      <c r="G111" t="s">
        <v>123</v>
      </c>
      <c r="H111">
        <v>51610.803479942202</v>
      </c>
    </row>
    <row r="113" spans="1:8" x14ac:dyDescent="0.25">
      <c r="A113" t="s">
        <v>298</v>
      </c>
      <c r="B113" t="s">
        <v>129</v>
      </c>
      <c r="G113" t="s">
        <v>118</v>
      </c>
      <c r="H113" t="s">
        <v>119</v>
      </c>
    </row>
    <row r="114" spans="1:8" x14ac:dyDescent="0.25">
      <c r="H114" t="s">
        <v>383</v>
      </c>
    </row>
    <row r="115" spans="1:8" x14ac:dyDescent="0.25">
      <c r="B115" t="s">
        <v>333</v>
      </c>
      <c r="C115" t="s">
        <v>334</v>
      </c>
      <c r="G115" t="s">
        <v>123</v>
      </c>
      <c r="H115">
        <v>212249.57072429001</v>
      </c>
    </row>
    <row r="116" spans="1:8" x14ac:dyDescent="0.25">
      <c r="A116" t="s">
        <v>123</v>
      </c>
      <c r="B116">
        <v>51059.059887320996</v>
      </c>
      <c r="C116">
        <v>51847.6700000493</v>
      </c>
    </row>
    <row r="117" spans="1:8" x14ac:dyDescent="0.25">
      <c r="G117" t="s">
        <v>128</v>
      </c>
      <c r="H117" t="s">
        <v>129</v>
      </c>
    </row>
    <row r="118" spans="1:8" x14ac:dyDescent="0.25">
      <c r="A118" t="s">
        <v>118</v>
      </c>
      <c r="B118" t="s">
        <v>119</v>
      </c>
      <c r="H118" t="s">
        <v>383</v>
      </c>
    </row>
    <row r="119" spans="1:8" x14ac:dyDescent="0.25">
      <c r="G119" t="s">
        <v>123</v>
      </c>
      <c r="H119">
        <v>84119.103368098396</v>
      </c>
    </row>
    <row r="120" spans="1:8" x14ac:dyDescent="0.25">
      <c r="B120" t="s">
        <v>333</v>
      </c>
      <c r="C120" t="s">
        <v>334</v>
      </c>
    </row>
    <row r="121" spans="1:8" x14ac:dyDescent="0.25">
      <c r="A121" t="s">
        <v>123</v>
      </c>
      <c r="B121">
        <v>741000.66649462003</v>
      </c>
      <c r="C121">
        <v>666679.75336598896</v>
      </c>
      <c r="G121" t="s">
        <v>301</v>
      </c>
      <c r="H121" t="s">
        <v>129</v>
      </c>
    </row>
    <row r="122" spans="1:8" x14ac:dyDescent="0.25">
      <c r="H122" t="s">
        <v>383</v>
      </c>
    </row>
    <row r="123" spans="1:8" x14ac:dyDescent="0.25">
      <c r="A123" t="s">
        <v>128</v>
      </c>
      <c r="B123" t="s">
        <v>129</v>
      </c>
      <c r="G123" t="s">
        <v>123</v>
      </c>
      <c r="H123">
        <v>150485594.16631001</v>
      </c>
    </row>
    <row r="125" spans="1:8" x14ac:dyDescent="0.25">
      <c r="B125" t="s">
        <v>333</v>
      </c>
      <c r="C125" t="s">
        <v>334</v>
      </c>
      <c r="G125" t="s">
        <v>302</v>
      </c>
      <c r="H125" t="s">
        <v>303</v>
      </c>
    </row>
    <row r="126" spans="1:8" x14ac:dyDescent="0.25">
      <c r="A126" t="s">
        <v>123</v>
      </c>
      <c r="B126">
        <v>139310.98490147101</v>
      </c>
      <c r="C126">
        <v>139290.85545832801</v>
      </c>
      <c r="H126" t="s">
        <v>383</v>
      </c>
    </row>
    <row r="127" spans="1:8" x14ac:dyDescent="0.25">
      <c r="G127" t="s">
        <v>123</v>
      </c>
      <c r="H127">
        <v>1.07880406078418E-2</v>
      </c>
    </row>
    <row r="128" spans="1:8" x14ac:dyDescent="0.25">
      <c r="A128" t="s">
        <v>301</v>
      </c>
      <c r="B128" t="s">
        <v>129</v>
      </c>
    </row>
    <row r="129" spans="1:8" x14ac:dyDescent="0.25">
      <c r="G129" t="s">
        <v>304</v>
      </c>
      <c r="H129" t="s">
        <v>305</v>
      </c>
    </row>
    <row r="130" spans="1:8" x14ac:dyDescent="0.25">
      <c r="B130" t="s">
        <v>333</v>
      </c>
      <c r="C130" t="s">
        <v>334</v>
      </c>
      <c r="H130" t="s">
        <v>383</v>
      </c>
    </row>
    <row r="131" spans="1:8" x14ac:dyDescent="0.25">
      <c r="A131" t="s">
        <v>123</v>
      </c>
      <c r="B131">
        <v>150087853.87271401</v>
      </c>
      <c r="C131">
        <v>151188247.00592899</v>
      </c>
      <c r="G131" t="s">
        <v>123</v>
      </c>
      <c r="H131">
        <v>59.579968990940301</v>
      </c>
    </row>
    <row r="133" spans="1:8" x14ac:dyDescent="0.25">
      <c r="A133" t="s">
        <v>302</v>
      </c>
      <c r="B133" t="s">
        <v>303</v>
      </c>
      <c r="G133" t="s">
        <v>306</v>
      </c>
      <c r="H133" t="s">
        <v>129</v>
      </c>
    </row>
    <row r="134" spans="1:8" x14ac:dyDescent="0.25">
      <c r="H134" t="s">
        <v>383</v>
      </c>
    </row>
    <row r="135" spans="1:8" x14ac:dyDescent="0.25">
      <c r="B135" t="s">
        <v>333</v>
      </c>
      <c r="C135" t="s">
        <v>334</v>
      </c>
      <c r="G135" t="s">
        <v>123</v>
      </c>
      <c r="H135">
        <v>879.81032475739698</v>
      </c>
    </row>
    <row r="136" spans="1:8" x14ac:dyDescent="0.25">
      <c r="A136" t="s">
        <v>123</v>
      </c>
      <c r="B136">
        <v>3.9912295890073703E-2</v>
      </c>
      <c r="C136">
        <v>4.06344217088297E-2</v>
      </c>
    </row>
    <row r="138" spans="1:8" x14ac:dyDescent="0.25">
      <c r="A138" t="s">
        <v>304</v>
      </c>
      <c r="B138" t="s">
        <v>305</v>
      </c>
    </row>
    <row r="140" spans="1:8" x14ac:dyDescent="0.25">
      <c r="B140" t="s">
        <v>333</v>
      </c>
      <c r="C140" t="s">
        <v>334</v>
      </c>
    </row>
    <row r="141" spans="1:8" x14ac:dyDescent="0.25">
      <c r="A141" t="s">
        <v>123</v>
      </c>
      <c r="B141">
        <v>148.15171672098299</v>
      </c>
      <c r="C141">
        <v>146.54740633866001</v>
      </c>
    </row>
    <row r="143" spans="1:8" x14ac:dyDescent="0.25">
      <c r="A143" t="s">
        <v>306</v>
      </c>
      <c r="B143" t="s">
        <v>129</v>
      </c>
    </row>
    <row r="145" spans="1:3" x14ac:dyDescent="0.25">
      <c r="B145" t="s">
        <v>333</v>
      </c>
      <c r="C145" t="s">
        <v>334</v>
      </c>
    </row>
    <row r="146" spans="1:3" x14ac:dyDescent="0.25">
      <c r="A146" t="s">
        <v>123</v>
      </c>
      <c r="B146">
        <v>6785.33356997603</v>
      </c>
      <c r="C146">
        <v>6751.80814086799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topLeftCell="P28" workbookViewId="0">
      <selection activeCell="AG57" sqref="AG57"/>
    </sheetView>
  </sheetViews>
  <sheetFormatPr baseColWidth="10" defaultRowHeight="15" x14ac:dyDescent="0.25"/>
  <cols>
    <col min="1" max="1" width="48.42578125" customWidth="1"/>
    <col min="2" max="6" width="18" customWidth="1"/>
    <col min="7" max="11" width="17.85546875" customWidth="1"/>
    <col min="15" max="15" width="21.140625" customWidth="1"/>
    <col min="16" max="23" width="15.85546875" customWidth="1"/>
  </cols>
  <sheetData>
    <row r="1" spans="1:25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25" ht="75" x14ac:dyDescent="0.25">
      <c r="A2" t="s">
        <v>237</v>
      </c>
      <c r="B2" s="23" t="s">
        <v>246</v>
      </c>
      <c r="C2" s="23" t="s">
        <v>335</v>
      </c>
      <c r="D2" s="23" t="s">
        <v>336</v>
      </c>
      <c r="E2" s="23" t="s">
        <v>337</v>
      </c>
      <c r="F2" s="23" t="s">
        <v>341</v>
      </c>
      <c r="G2" s="23" t="s">
        <v>342</v>
      </c>
      <c r="H2" s="23" t="s">
        <v>340</v>
      </c>
      <c r="I2" s="23" t="s">
        <v>338</v>
      </c>
      <c r="J2" s="23" t="s">
        <v>343</v>
      </c>
      <c r="K2" s="23" t="s">
        <v>339</v>
      </c>
      <c r="M2" s="32" t="s">
        <v>318</v>
      </c>
      <c r="N2" s="52"/>
      <c r="P2" s="23" t="s">
        <v>246</v>
      </c>
      <c r="Q2" s="23" t="s">
        <v>335</v>
      </c>
      <c r="R2" s="23" t="s">
        <v>336</v>
      </c>
      <c r="S2" s="23" t="s">
        <v>337</v>
      </c>
      <c r="T2" s="23" t="s">
        <v>341</v>
      </c>
      <c r="U2" s="23" t="s">
        <v>342</v>
      </c>
      <c r="V2" s="23" t="s">
        <v>340</v>
      </c>
      <c r="W2" s="23" t="s">
        <v>338</v>
      </c>
      <c r="X2" s="23" t="s">
        <v>343</v>
      </c>
      <c r="Y2" s="23" t="s">
        <v>339</v>
      </c>
    </row>
    <row r="3" spans="1:25" x14ac:dyDescent="0.25">
      <c r="A3" t="s">
        <v>345</v>
      </c>
      <c r="B3" s="12">
        <v>2.5</v>
      </c>
      <c r="C3">
        <v>3.2555000000000001</v>
      </c>
      <c r="D3">
        <v>3.0640999999999998</v>
      </c>
      <c r="E3">
        <v>3.2406000000000001</v>
      </c>
      <c r="F3">
        <v>2.5491000000000001</v>
      </c>
      <c r="G3">
        <v>2.0076999999999998</v>
      </c>
      <c r="H3">
        <v>2.1084000000000001</v>
      </c>
      <c r="I3">
        <v>2.6516000000000002</v>
      </c>
      <c r="J3">
        <v>1.6127</v>
      </c>
      <c r="K3">
        <v>1.6958</v>
      </c>
      <c r="M3">
        <f t="shared" ref="M3:M14" si="0">MAX(C3:K3)</f>
        <v>3.2555000000000001</v>
      </c>
      <c r="O3" t="s">
        <v>345</v>
      </c>
      <c r="P3">
        <f>B3/$M3</f>
        <v>0.76793119336507443</v>
      </c>
      <c r="Q3">
        <f t="shared" ref="Q3:Y3" si="1">C3/$M3</f>
        <v>1</v>
      </c>
      <c r="R3">
        <f t="shared" si="1"/>
        <v>0.94120718783596979</v>
      </c>
      <c r="S3">
        <f t="shared" si="1"/>
        <v>0.99542313008754413</v>
      </c>
      <c r="T3">
        <f t="shared" si="1"/>
        <v>0.78301336200276461</v>
      </c>
      <c r="U3">
        <f t="shared" si="1"/>
        <v>0.6167101827676239</v>
      </c>
      <c r="V3">
        <f t="shared" si="1"/>
        <v>0.64764245123636921</v>
      </c>
      <c r="W3">
        <f t="shared" si="1"/>
        <v>0.8144985409307326</v>
      </c>
      <c r="X3">
        <f t="shared" si="1"/>
        <v>0.49537705421594225</v>
      </c>
      <c r="Y3">
        <f t="shared" si="1"/>
        <v>0.52090308708339728</v>
      </c>
    </row>
    <row r="4" spans="1:25" x14ac:dyDescent="0.25">
      <c r="A4" t="s">
        <v>311</v>
      </c>
      <c r="B4">
        <f>LCA_Results!T5</f>
        <v>3.3573798952335841E-5</v>
      </c>
      <c r="C4">
        <f>LCA_Results!R8</f>
        <v>9.370046039574498E-5</v>
      </c>
      <c r="D4">
        <f>LCA_Results!U5</f>
        <v>8.9300509032985755E-5</v>
      </c>
      <c r="E4">
        <f>LCA_Results!V5</f>
        <v>9.3750887422839967E-5</v>
      </c>
      <c r="F4">
        <f>LCA_Results!X5</f>
        <v>8.7870442867085395E-5</v>
      </c>
      <c r="G4">
        <f>LCA_Results!Y5</f>
        <v>8.9215413564323147E-5</v>
      </c>
      <c r="H4">
        <f>LCA_Results!AA5</f>
        <v>9.0996781183599356E-5</v>
      </c>
      <c r="I4">
        <f>LCA_Results!W5</f>
        <v>9.5684425946761261E-5</v>
      </c>
      <c r="J4">
        <f>LCA_Results!Z5</f>
        <v>9.0966370347930772E-5</v>
      </c>
      <c r="K4">
        <f>LCA_Results!AB5</f>
        <v>9.2473947712572082E-5</v>
      </c>
      <c r="M4">
        <f t="shared" si="0"/>
        <v>9.5684425946761261E-5</v>
      </c>
      <c r="O4" t="s">
        <v>311</v>
      </c>
      <c r="P4">
        <f>B4/$M4</f>
        <v>0.35088049721922643</v>
      </c>
      <c r="Q4">
        <f t="shared" ref="Q4:Q14" si="2">C4/$M4</f>
        <v>0.97926553322146537</v>
      </c>
      <c r="R4">
        <f t="shared" ref="R4:R14" si="3">D4/$M4</f>
        <v>0.93328154659852891</v>
      </c>
      <c r="S4">
        <f t="shared" ref="S4:S14" si="4">E4/$M4</f>
        <v>0.97979254716961861</v>
      </c>
      <c r="T4">
        <f t="shared" ref="T4:T14" si="5">F4/$M4</f>
        <v>0.91833589424444517</v>
      </c>
      <c r="U4">
        <f t="shared" ref="U4:U14" si="6">G4/$M4</f>
        <v>0.93239221201956657</v>
      </c>
      <c r="V4">
        <f t="shared" ref="V4:V14" si="7">H4/$M4</f>
        <v>0.95100932344235301</v>
      </c>
      <c r="W4">
        <f t="shared" ref="W4:W14" si="8">I4/$M4</f>
        <v>1</v>
      </c>
      <c r="X4">
        <f t="shared" ref="X4:X14" si="9">J4/$M4</f>
        <v>0.95069149914265449</v>
      </c>
      <c r="Y4">
        <f t="shared" ref="Y4:Y14" si="10">K4/$M4</f>
        <v>0.96644722270711547</v>
      </c>
    </row>
    <row r="5" spans="1:25" x14ac:dyDescent="0.25">
      <c r="A5" t="s">
        <v>312</v>
      </c>
      <c r="B5">
        <f>LCA_Results!T13</f>
        <v>164.03939426668887</v>
      </c>
      <c r="C5">
        <f>LCA_Results!R16</f>
        <v>123.74593408669152</v>
      </c>
      <c r="D5">
        <f>LCA_Results!U13</f>
        <v>111.9484420130958</v>
      </c>
      <c r="E5">
        <f>LCA_Results!V13</f>
        <v>124.11924723696683</v>
      </c>
      <c r="F5">
        <f>LCA_Results!X13</f>
        <v>71.556915601613255</v>
      </c>
      <c r="G5">
        <f>LCA_Results!Y13</f>
        <v>72.652186328165328</v>
      </c>
      <c r="H5">
        <f>LCA_Results!AA13</f>
        <v>114.07114689686298</v>
      </c>
      <c r="I5">
        <f>LCA_Results!W13</f>
        <v>120.24331385455471</v>
      </c>
      <c r="J5">
        <f>LCA_Results!Z13</f>
        <v>67.440649767976751</v>
      </c>
      <c r="K5">
        <f>LCA_Results!AB13</f>
        <v>108.64243583356787</v>
      </c>
      <c r="M5">
        <f t="shared" si="0"/>
        <v>124.11924723696683</v>
      </c>
      <c r="O5" t="s">
        <v>312</v>
      </c>
      <c r="P5">
        <f t="shared" ref="P5:P14" si="11">B5/$M5</f>
        <v>1.3216273697946865</v>
      </c>
      <c r="Q5">
        <f t="shared" si="2"/>
        <v>0.99699230249469217</v>
      </c>
      <c r="R5">
        <f t="shared" si="3"/>
        <v>0.90194264391053958</v>
      </c>
      <c r="S5">
        <f t="shared" si="4"/>
        <v>1</v>
      </c>
      <c r="T5">
        <f t="shared" si="5"/>
        <v>0.57651747971849798</v>
      </c>
      <c r="U5">
        <f t="shared" si="6"/>
        <v>0.58534182204198137</v>
      </c>
      <c r="V5">
        <f t="shared" si="7"/>
        <v>0.91904478504514175</v>
      </c>
      <c r="W5">
        <f t="shared" si="8"/>
        <v>0.96877250330875575</v>
      </c>
      <c r="X5">
        <f t="shared" si="9"/>
        <v>0.54335368018483021</v>
      </c>
      <c r="Y5">
        <f t="shared" si="10"/>
        <v>0.87530691856476672</v>
      </c>
    </row>
    <row r="6" spans="1:25" x14ac:dyDescent="0.25">
      <c r="A6" t="s">
        <v>240</v>
      </c>
      <c r="B6">
        <f>LCA_Results!T21</f>
        <v>2.5897061009561663E-2</v>
      </c>
      <c r="C6">
        <f>LCA_Results!R24</f>
        <v>3.0427042281075702E-2</v>
      </c>
      <c r="D6">
        <f>LCA_Results!U21</f>
        <v>2.6209018399159657E-2</v>
      </c>
      <c r="E6">
        <f>LCA_Results!V21</f>
        <v>3.0460063537122998E-2</v>
      </c>
      <c r="F6">
        <f>LCA_Results!X21</f>
        <v>4.7057504872179939E-2</v>
      </c>
      <c r="G6">
        <f>LCA_Results!Y21</f>
        <v>4.777778106852984E-2</v>
      </c>
      <c r="H6">
        <f>LCA_Results!AA21</f>
        <v>2.6716969749004765E-2</v>
      </c>
      <c r="I6">
        <f>LCA_Results!W21</f>
        <v>3.0477806970161871E-2</v>
      </c>
      <c r="J6">
        <f>LCA_Results!Z21</f>
        <v>4.7626084850174236E-2</v>
      </c>
      <c r="K6">
        <f>LCA_Results!AB21</f>
        <v>2.640592260409631E-2</v>
      </c>
      <c r="M6">
        <f t="shared" si="0"/>
        <v>4.777778106852984E-2</v>
      </c>
      <c r="O6" t="s">
        <v>240</v>
      </c>
      <c r="P6">
        <f t="shared" si="11"/>
        <v>0.54203147216938208</v>
      </c>
      <c r="Q6">
        <f t="shared" si="2"/>
        <v>0.63684502713578961</v>
      </c>
      <c r="R6">
        <f t="shared" si="3"/>
        <v>0.54856081243218213</v>
      </c>
      <c r="S6">
        <f t="shared" si="4"/>
        <v>0.63753616965661808</v>
      </c>
      <c r="T6">
        <f t="shared" si="5"/>
        <v>0.98492445274265095</v>
      </c>
      <c r="U6">
        <f t="shared" si="6"/>
        <v>1</v>
      </c>
      <c r="V6">
        <f t="shared" si="7"/>
        <v>0.55919235158040104</v>
      </c>
      <c r="W6">
        <f t="shared" si="8"/>
        <v>0.63790754381092263</v>
      </c>
      <c r="X6">
        <f t="shared" si="9"/>
        <v>0.99682496309031143</v>
      </c>
      <c r="Y6">
        <f t="shared" si="10"/>
        <v>0.55268206294932565</v>
      </c>
    </row>
    <row r="7" spans="1:25" x14ac:dyDescent="0.25">
      <c r="A7" t="s">
        <v>239</v>
      </c>
      <c r="B7">
        <f>LCA_Results!T29</f>
        <v>9.4144111426092865E-3</v>
      </c>
      <c r="C7">
        <f>LCA_Results!R32</f>
        <v>9.4913827846564956E-3</v>
      </c>
      <c r="D7">
        <f>LCA_Results!U29</f>
        <v>7.2134252448692471E-3</v>
      </c>
      <c r="E7">
        <f>LCA_Results!V29</f>
        <v>9.4112421279318632E-3</v>
      </c>
      <c r="F7">
        <f>LCA_Results!X29</f>
        <v>2.6083479875402542E-2</v>
      </c>
      <c r="G7">
        <f>LCA_Results!Y29</f>
        <v>2.6482722457642778E-2</v>
      </c>
      <c r="H7">
        <f>LCA_Results!AA29</f>
        <v>7.2644446212875398E-3</v>
      </c>
      <c r="I7">
        <f>LCA_Results!W29</f>
        <v>9.0226251457863008E-3</v>
      </c>
      <c r="J7">
        <f>LCA_Results!Z29</f>
        <v>2.6039558070552533E-2</v>
      </c>
      <c r="K7">
        <f>LCA_Results!AB29</f>
        <v>6.7292703820282388E-3</v>
      </c>
      <c r="M7">
        <f t="shared" si="0"/>
        <v>2.6482722457642778E-2</v>
      </c>
      <c r="O7" t="s">
        <v>239</v>
      </c>
      <c r="P7">
        <f t="shared" si="11"/>
        <v>0.35549257285261981</v>
      </c>
      <c r="Q7">
        <f t="shared" si="2"/>
        <v>0.35839905809673778</v>
      </c>
      <c r="R7">
        <f t="shared" si="3"/>
        <v>0.27238231478680508</v>
      </c>
      <c r="S7">
        <f t="shared" si="4"/>
        <v>0.35537290937457328</v>
      </c>
      <c r="T7">
        <f t="shared" si="5"/>
        <v>0.98492441315734069</v>
      </c>
      <c r="U7">
        <f t="shared" si="6"/>
        <v>1</v>
      </c>
      <c r="V7">
        <f t="shared" si="7"/>
        <v>0.27430883032915138</v>
      </c>
      <c r="W7">
        <f t="shared" si="8"/>
        <v>0.34069855016671136</v>
      </c>
      <c r="X7">
        <f t="shared" si="9"/>
        <v>0.98326590524070723</v>
      </c>
      <c r="Y7">
        <f t="shared" si="10"/>
        <v>0.25410040047020188</v>
      </c>
    </row>
    <row r="8" spans="1:25" x14ac:dyDescent="0.25">
      <c r="A8" t="s">
        <v>313</v>
      </c>
      <c r="B8">
        <f>LCA_Results!T37</f>
        <v>1.967228244091916</v>
      </c>
      <c r="C8">
        <f>LCA_Results!R40</f>
        <v>0.85880536616244674</v>
      </c>
      <c r="D8">
        <f>LCA_Results!U37</f>
        <v>0.65638448058120957</v>
      </c>
      <c r="E8">
        <f>LCA_Results!V37</f>
        <v>0.85818136848709048</v>
      </c>
      <c r="F8">
        <f>LCA_Results!X37</f>
        <v>0.66363477341491039</v>
      </c>
      <c r="G8">
        <f>LCA_Results!Y37</f>
        <v>0.67379196294859911</v>
      </c>
      <c r="H8">
        <f>LCA_Results!AA37</f>
        <v>0.66785250322464496</v>
      </c>
      <c r="I8">
        <f>LCA_Results!W37</f>
        <v>0.88167632167449084</v>
      </c>
      <c r="J8">
        <f>LCA_Results!Z37</f>
        <v>0.68619697768360899</v>
      </c>
      <c r="K8">
        <f>LCA_Results!AB37</f>
        <v>0.67816752349756337</v>
      </c>
      <c r="M8">
        <f t="shared" si="0"/>
        <v>0.88167632167449084</v>
      </c>
      <c r="O8" t="s">
        <v>313</v>
      </c>
      <c r="P8">
        <f t="shared" si="11"/>
        <v>2.231236334390529</v>
      </c>
      <c r="Q8">
        <f t="shared" si="2"/>
        <v>0.97405969180548335</v>
      </c>
      <c r="R8">
        <f t="shared" si="3"/>
        <v>0.74447329983252342</v>
      </c>
      <c r="S8">
        <f t="shared" si="4"/>
        <v>0.97335195171990274</v>
      </c>
      <c r="T8">
        <f t="shared" si="5"/>
        <v>0.75269660429864649</v>
      </c>
      <c r="U8">
        <f t="shared" si="6"/>
        <v>0.76421691995643581</v>
      </c>
      <c r="V8">
        <f t="shared" si="7"/>
        <v>0.75748036644133876</v>
      </c>
      <c r="W8">
        <f t="shared" si="8"/>
        <v>1</v>
      </c>
      <c r="X8">
        <f t="shared" si="9"/>
        <v>0.77828672588186898</v>
      </c>
      <c r="Y8">
        <f t="shared" si="10"/>
        <v>0.76917969420975152</v>
      </c>
    </row>
    <row r="9" spans="1:25" x14ac:dyDescent="0.25">
      <c r="A9" t="s">
        <v>238</v>
      </c>
      <c r="B9">
        <f>LCA_Results!T45</f>
        <v>8.0902315440115213</v>
      </c>
      <c r="C9">
        <f>LCA_Results!R48</f>
        <v>10.591547610770291</v>
      </c>
      <c r="D9">
        <f>LCA_Results!U45</f>
        <v>9.5233971282896803</v>
      </c>
      <c r="E9">
        <f>LCA_Results!V45</f>
        <v>10.603466856681402</v>
      </c>
      <c r="F9">
        <f>LCA_Results!X45</f>
        <v>7.2037146806923626</v>
      </c>
      <c r="G9">
        <f>LCA_Results!Y45</f>
        <v>7.3139769760019515</v>
      </c>
      <c r="H9">
        <f>LCA_Results!AA45</f>
        <v>9.6922887162764013</v>
      </c>
      <c r="I9">
        <f>LCA_Results!W45</f>
        <v>9.7781774743925762</v>
      </c>
      <c r="J9">
        <f>LCA_Results!Z45</f>
        <v>6.3645274265465197</v>
      </c>
      <c r="K9">
        <f>LCA_Results!AB45</f>
        <v>8.7201711727016686</v>
      </c>
      <c r="M9">
        <f t="shared" si="0"/>
        <v>10.603466856681402</v>
      </c>
      <c r="O9" t="s">
        <v>238</v>
      </c>
      <c r="P9">
        <f t="shared" si="11"/>
        <v>0.76297984926635065</v>
      </c>
      <c r="Q9">
        <f t="shared" si="2"/>
        <v>0.9988759104854843</v>
      </c>
      <c r="R9">
        <f t="shared" si="3"/>
        <v>0.8981399439456772</v>
      </c>
      <c r="S9">
        <f t="shared" si="4"/>
        <v>1</v>
      </c>
      <c r="T9">
        <f t="shared" si="5"/>
        <v>0.67937352736225087</v>
      </c>
      <c r="U9">
        <f t="shared" si="6"/>
        <v>0.68977222967347762</v>
      </c>
      <c r="V9">
        <f t="shared" si="7"/>
        <v>0.91406790319424125</v>
      </c>
      <c r="W9">
        <f t="shared" si="8"/>
        <v>0.92216796700139647</v>
      </c>
      <c r="X9">
        <f t="shared" si="9"/>
        <v>0.60023080305439314</v>
      </c>
      <c r="Y9">
        <f t="shared" si="10"/>
        <v>0.82238868575393897</v>
      </c>
    </row>
    <row r="10" spans="1:25" x14ac:dyDescent="0.25">
      <c r="A10" t="s">
        <v>241</v>
      </c>
      <c r="B10">
        <f>LCA_Results!T53</f>
        <v>3.206334039688465</v>
      </c>
      <c r="C10">
        <f>LCA_Results!R56</f>
        <v>2.1517912597992126</v>
      </c>
      <c r="D10">
        <f>LCA_Results!U53</f>
        <v>1.7892386408362542</v>
      </c>
      <c r="E10">
        <f>LCA_Results!V53</f>
        <v>2.1528369097944027</v>
      </c>
      <c r="F10">
        <f>LCA_Results!X53</f>
        <v>8.8483736824391315</v>
      </c>
      <c r="G10">
        <f>LCA_Results!Y53</f>
        <v>8.9838099868850989</v>
      </c>
      <c r="H10">
        <f>LCA_Results!AA53</f>
        <v>1.822187682234268</v>
      </c>
      <c r="I10">
        <f>LCA_Results!W53</f>
        <v>2.1849916569023229</v>
      </c>
      <c r="J10">
        <f>LCA_Results!Z53</f>
        <v>9.0145725222568682</v>
      </c>
      <c r="K10">
        <f>LCA_Results!AB53</f>
        <v>1.8219243891179977</v>
      </c>
      <c r="M10">
        <f t="shared" si="0"/>
        <v>9.0145725222568682</v>
      </c>
      <c r="O10" t="s">
        <v>241</v>
      </c>
      <c r="P10">
        <f t="shared" si="11"/>
        <v>0.35568342611610987</v>
      </c>
      <c r="Q10">
        <f t="shared" si="2"/>
        <v>0.23870141978296436</v>
      </c>
      <c r="R10">
        <f t="shared" si="3"/>
        <v>0.19848291601389262</v>
      </c>
      <c r="S10">
        <f t="shared" si="4"/>
        <v>0.2388174152994027</v>
      </c>
      <c r="T10">
        <f t="shared" si="5"/>
        <v>0.98156331435490773</v>
      </c>
      <c r="U10">
        <f t="shared" si="6"/>
        <v>0.9965874659840146</v>
      </c>
      <c r="V10">
        <f t="shared" si="7"/>
        <v>0.20213800241057567</v>
      </c>
      <c r="W10">
        <f t="shared" si="8"/>
        <v>0.24238438944360427</v>
      </c>
      <c r="X10">
        <f t="shared" si="9"/>
        <v>1</v>
      </c>
      <c r="Y10">
        <f t="shared" si="10"/>
        <v>0.2021087949117597</v>
      </c>
    </row>
    <row r="11" spans="1:25" x14ac:dyDescent="0.25">
      <c r="A11" t="s">
        <v>314</v>
      </c>
      <c r="B11">
        <f>LCA_Results!T61</f>
        <v>5735.9988841865288</v>
      </c>
      <c r="C11">
        <f>LCA_Results!R64</f>
        <v>2509.0460079618351</v>
      </c>
      <c r="D11">
        <f>LCA_Results!U61</f>
        <v>1928.8445434322234</v>
      </c>
      <c r="E11">
        <f>LCA_Results!V61</f>
        <v>2507.7700021568016</v>
      </c>
      <c r="F11">
        <f>LCA_Results!X61</f>
        <v>1924.2910244033849</v>
      </c>
      <c r="G11">
        <f>LCA_Results!Y61</f>
        <v>1953.7436058399803</v>
      </c>
      <c r="H11">
        <f>LCA_Results!AA61</f>
        <v>1963.1491283567004</v>
      </c>
      <c r="I11">
        <f>LCA_Results!W61</f>
        <v>2561.8002971875148</v>
      </c>
      <c r="J11">
        <f>LCA_Results!Z61</f>
        <v>1974.217067807115</v>
      </c>
      <c r="K11">
        <f>LCA_Results!AB61</f>
        <v>1977.5422705369647</v>
      </c>
      <c r="M11">
        <f t="shared" si="0"/>
        <v>2561.8002971875148</v>
      </c>
      <c r="O11" t="s">
        <v>314</v>
      </c>
      <c r="P11">
        <f t="shared" si="11"/>
        <v>2.2390499721948753</v>
      </c>
      <c r="Q11">
        <f t="shared" si="2"/>
        <v>0.97940733737770413</v>
      </c>
      <c r="R11">
        <f t="shared" si="3"/>
        <v>0.75292541169185401</v>
      </c>
      <c r="S11">
        <f t="shared" si="4"/>
        <v>0.97890924788710865</v>
      </c>
      <c r="T11">
        <f t="shared" si="5"/>
        <v>0.75114794331001422</v>
      </c>
      <c r="U11">
        <f t="shared" si="6"/>
        <v>0.76264477289073129</v>
      </c>
      <c r="V11">
        <f t="shared" si="7"/>
        <v>0.76631622320910553</v>
      </c>
      <c r="W11">
        <f t="shared" si="8"/>
        <v>1</v>
      </c>
      <c r="X11">
        <f t="shared" si="9"/>
        <v>0.77063659879129487</v>
      </c>
      <c r="Y11">
        <f t="shared" si="10"/>
        <v>0.7719345933045676</v>
      </c>
    </row>
    <row r="12" spans="1:25" x14ac:dyDescent="0.25">
      <c r="A12" t="s">
        <v>315</v>
      </c>
      <c r="B12">
        <f>LCA_Results!T69</f>
        <v>4.1120340609315922E-7</v>
      </c>
      <c r="C12">
        <f>LCA_Results!R72</f>
        <v>5.9371730769863915E-7</v>
      </c>
      <c r="D12">
        <f>LCA_Results!U69</f>
        <v>5.126101671198143E-7</v>
      </c>
      <c r="E12">
        <f>LCA_Results!V69</f>
        <v>5.9371729727778635E-7</v>
      </c>
      <c r="F12">
        <f>LCA_Results!X69</f>
        <v>5.1260515728980792E-7</v>
      </c>
      <c r="G12">
        <f>LCA_Results!Y69</f>
        <v>5.2045125974115324E-7</v>
      </c>
      <c r="H12">
        <f>LCA_Results!AA69</f>
        <v>5.2205283016281195E-7</v>
      </c>
      <c r="I12">
        <f>LCA_Results!W69</f>
        <v>6.1381267955403556E-7</v>
      </c>
      <c r="J12">
        <f>LCA_Results!Z69</f>
        <v>5.3149314199416343E-7</v>
      </c>
      <c r="K12">
        <f>LCA_Results!AB69</f>
        <v>5.3149823587070473E-7</v>
      </c>
      <c r="M12">
        <f t="shared" si="0"/>
        <v>6.1381267955403556E-7</v>
      </c>
      <c r="O12" t="s">
        <v>315</v>
      </c>
      <c r="P12">
        <f t="shared" si="11"/>
        <v>0.66991676742800144</v>
      </c>
      <c r="Q12">
        <f t="shared" si="2"/>
        <v>0.96726139337819372</v>
      </c>
      <c r="R12">
        <f t="shared" si="3"/>
        <v>0.83512476068798425</v>
      </c>
      <c r="S12">
        <f t="shared" si="4"/>
        <v>0.96726137640094123</v>
      </c>
      <c r="T12">
        <f t="shared" si="5"/>
        <v>0.83511659886569989</v>
      </c>
      <c r="U12">
        <f t="shared" si="6"/>
        <v>0.8478991670867505</v>
      </c>
      <c r="V12">
        <f t="shared" si="7"/>
        <v>0.85050838399445972</v>
      </c>
      <c r="W12">
        <f t="shared" si="8"/>
        <v>1</v>
      </c>
      <c r="X12">
        <f t="shared" si="9"/>
        <v>0.86588817679738839</v>
      </c>
      <c r="Y12">
        <f t="shared" si="10"/>
        <v>0.86589647554505356</v>
      </c>
    </row>
    <row r="13" spans="1:25" x14ac:dyDescent="0.25">
      <c r="A13" t="s">
        <v>316</v>
      </c>
      <c r="B13">
        <f>LCA_Results!T77</f>
        <v>2.2709857215582638E-3</v>
      </c>
      <c r="C13">
        <f>LCA_Results!R80</f>
        <v>2.1273400423851268E-3</v>
      </c>
      <c r="D13">
        <f>LCA_Results!U77</f>
        <v>1.9016052214742187E-3</v>
      </c>
      <c r="E13">
        <f>LCA_Results!V77</f>
        <v>2.1300811602872299E-3</v>
      </c>
      <c r="F13">
        <f>LCA_Results!X77</f>
        <v>7.541783036534769E-3</v>
      </c>
      <c r="G13">
        <f>LCA_Results!Y77</f>
        <v>7.6572204158442837E-3</v>
      </c>
      <c r="H13">
        <f>LCA_Results!AA77</f>
        <v>1.937824454415908E-3</v>
      </c>
      <c r="I13">
        <f>LCA_Results!W77</f>
        <v>2.1383345385489671E-3</v>
      </c>
      <c r="J13">
        <f>LCA_Results!Z77</f>
        <v>7.6625425379588724E-3</v>
      </c>
      <c r="K13">
        <f>LCA_Results!AB77</f>
        <v>1.916840074618313E-3</v>
      </c>
      <c r="M13">
        <f t="shared" si="0"/>
        <v>7.6625425379588724E-3</v>
      </c>
      <c r="O13" t="s">
        <v>316</v>
      </c>
      <c r="P13">
        <f t="shared" si="11"/>
        <v>0.29637495783001588</v>
      </c>
      <c r="Q13">
        <f t="shared" si="2"/>
        <v>0.27762848060505541</v>
      </c>
      <c r="R13">
        <f t="shared" si="3"/>
        <v>0.24816896115799747</v>
      </c>
      <c r="S13">
        <f t="shared" si="4"/>
        <v>0.27798621015611813</v>
      </c>
      <c r="T13">
        <f t="shared" si="5"/>
        <v>0.98424028306193634</v>
      </c>
      <c r="U13">
        <f t="shared" si="6"/>
        <v>0.99930543653255777</v>
      </c>
      <c r="V13">
        <f t="shared" si="7"/>
        <v>0.25289575161459404</v>
      </c>
      <c r="W13">
        <f t="shared" si="8"/>
        <v>0.27906331716346611</v>
      </c>
      <c r="X13">
        <f t="shared" si="9"/>
        <v>1</v>
      </c>
      <c r="Y13">
        <f t="shared" si="10"/>
        <v>0.25015718544107629</v>
      </c>
    </row>
    <row r="14" spans="1:25" x14ac:dyDescent="0.25">
      <c r="A14" t="s">
        <v>317</v>
      </c>
      <c r="B14">
        <f>LCA_Results!T85</f>
        <v>3.3535376386439678E-2</v>
      </c>
      <c r="C14">
        <f>LCA_Results!R88</f>
        <v>0.10816329271794405</v>
      </c>
      <c r="D14">
        <f>LCA_Results!U85</f>
        <v>8.7143056671282373E-2</v>
      </c>
      <c r="E14">
        <f>LCA_Results!V85</f>
        <v>0.10813569188967248</v>
      </c>
      <c r="F14">
        <f>LCA_Results!X85</f>
        <v>3.2965554908565849E-2</v>
      </c>
      <c r="G14">
        <f>LCA_Results!Y85</f>
        <v>3.3470133958835795E-2</v>
      </c>
      <c r="H14">
        <f>LCA_Results!AA85</f>
        <v>8.8752163081796134E-2</v>
      </c>
      <c r="I14">
        <f>LCA_Results!W85</f>
        <v>0.10836240551659816</v>
      </c>
      <c r="J14">
        <f>LCA_Results!Z85</f>
        <v>3.3140966443935063E-2</v>
      </c>
      <c r="K14">
        <f>LCA_Results!AB85</f>
        <v>8.8313650469129631E-2</v>
      </c>
      <c r="M14">
        <f t="shared" si="0"/>
        <v>0.10836240551659816</v>
      </c>
      <c r="O14" t="s">
        <v>317</v>
      </c>
      <c r="P14">
        <f t="shared" si="11"/>
        <v>0.3094742704037054</v>
      </c>
      <c r="Q14">
        <f t="shared" si="2"/>
        <v>0.99816252880595546</v>
      </c>
      <c r="R14">
        <f t="shared" si="3"/>
        <v>0.80418163712630431</v>
      </c>
      <c r="S14">
        <f t="shared" si="4"/>
        <v>0.99790782028282898</v>
      </c>
      <c r="T14">
        <f t="shared" si="5"/>
        <v>0.3042157909969655</v>
      </c>
      <c r="U14">
        <f t="shared" si="6"/>
        <v>0.30887219418277939</v>
      </c>
      <c r="V14">
        <f t="shared" si="7"/>
        <v>0.81903094213058725</v>
      </c>
      <c r="W14">
        <f t="shared" si="8"/>
        <v>1</v>
      </c>
      <c r="X14">
        <f t="shared" si="9"/>
        <v>0.30583453999513488</v>
      </c>
      <c r="Y14">
        <f t="shared" si="10"/>
        <v>0.81498421937119503</v>
      </c>
    </row>
    <row r="18" spans="2:25" x14ac:dyDescent="0.25">
      <c r="P18">
        <f>SUM(P4:P14)</f>
        <v>9.4347474896655008</v>
      </c>
      <c r="Q18">
        <f t="shared" ref="Q18:Y18" si="12">SUM(Q4:Q14)</f>
        <v>8.4055986831895275</v>
      </c>
      <c r="R18">
        <f t="shared" si="12"/>
        <v>7.1376642481842882</v>
      </c>
      <c r="S18">
        <f t="shared" si="12"/>
        <v>8.4069356479471136</v>
      </c>
      <c r="T18">
        <f t="shared" si="12"/>
        <v>8.7530563021133556</v>
      </c>
      <c r="U18">
        <f t="shared" si="12"/>
        <v>8.8870322203682957</v>
      </c>
      <c r="V18">
        <f t="shared" si="12"/>
        <v>7.2659928633919488</v>
      </c>
      <c r="W18">
        <f t="shared" si="12"/>
        <v>8.3909942708948559</v>
      </c>
      <c r="X18">
        <f t="shared" si="12"/>
        <v>8.7950128921785833</v>
      </c>
      <c r="Y18">
        <f t="shared" si="12"/>
        <v>7.1451862532287524</v>
      </c>
    </row>
    <row r="19" spans="2:25" ht="75" x14ac:dyDescent="0.25">
      <c r="P19" s="23" t="s">
        <v>246</v>
      </c>
      <c r="Q19" s="23" t="s">
        <v>335</v>
      </c>
      <c r="R19" s="23" t="s">
        <v>336</v>
      </c>
      <c r="S19" s="23" t="s">
        <v>337</v>
      </c>
      <c r="T19" s="23" t="s">
        <v>341</v>
      </c>
      <c r="U19" s="23" t="s">
        <v>342</v>
      </c>
      <c r="V19" s="23" t="s">
        <v>340</v>
      </c>
      <c r="W19" s="23" t="s">
        <v>338</v>
      </c>
      <c r="X19" s="23" t="s">
        <v>343</v>
      </c>
      <c r="Y19" s="23" t="s">
        <v>339</v>
      </c>
    </row>
    <row r="20" spans="2:25" x14ac:dyDescent="0.25">
      <c r="O20" t="s">
        <v>344</v>
      </c>
      <c r="P20">
        <f>_xlfn.RANK.EQ(P18,$P$18:$Y$18,1)</f>
        <v>10</v>
      </c>
      <c r="Q20">
        <f t="shared" ref="Q20:Y20" si="13">_xlfn.RANK.EQ(Q18,$P$18:$Y$18,1)</f>
        <v>5</v>
      </c>
      <c r="R20">
        <f t="shared" si="13"/>
        <v>1</v>
      </c>
      <c r="S20">
        <f t="shared" si="13"/>
        <v>6</v>
      </c>
      <c r="T20">
        <f t="shared" si="13"/>
        <v>7</v>
      </c>
      <c r="U20">
        <f t="shared" si="13"/>
        <v>9</v>
      </c>
      <c r="V20">
        <f t="shared" si="13"/>
        <v>3</v>
      </c>
      <c r="W20">
        <f t="shared" si="13"/>
        <v>4</v>
      </c>
      <c r="X20">
        <f t="shared" si="13"/>
        <v>8</v>
      </c>
      <c r="Y20">
        <f t="shared" si="13"/>
        <v>2</v>
      </c>
    </row>
    <row r="21" spans="2:25" x14ac:dyDescent="0.25">
      <c r="O21" t="s">
        <v>348</v>
      </c>
      <c r="P21">
        <f>_xlfn.RANK.EQ(P3,$P$3:$Y$3,1)</f>
        <v>5</v>
      </c>
      <c r="Q21">
        <f t="shared" ref="Q21:Y21" si="14">_xlfn.RANK.EQ(Q3,$P$3:$Y$3,1)</f>
        <v>10</v>
      </c>
      <c r="R21">
        <f t="shared" si="14"/>
        <v>8</v>
      </c>
      <c r="S21">
        <f t="shared" si="14"/>
        <v>9</v>
      </c>
      <c r="T21">
        <f t="shared" si="14"/>
        <v>6</v>
      </c>
      <c r="U21">
        <f t="shared" si="14"/>
        <v>3</v>
      </c>
      <c r="V21">
        <f t="shared" si="14"/>
        <v>4</v>
      </c>
      <c r="W21">
        <f t="shared" si="14"/>
        <v>7</v>
      </c>
      <c r="X21">
        <f t="shared" si="14"/>
        <v>1</v>
      </c>
      <c r="Y21">
        <f t="shared" si="14"/>
        <v>2</v>
      </c>
    </row>
    <row r="23" spans="2:25" x14ac:dyDescent="0.25">
      <c r="B23" s="29"/>
      <c r="C23" s="29"/>
      <c r="D23" s="29"/>
      <c r="E23" s="29"/>
      <c r="F23" s="29"/>
      <c r="G23" s="29"/>
      <c r="H23" s="29"/>
      <c r="I23" s="29"/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7" sqref="D17"/>
    </sheetView>
  </sheetViews>
  <sheetFormatPr baseColWidth="10" defaultRowHeight="15" x14ac:dyDescent="0.25"/>
  <cols>
    <col min="1" max="7" width="18.5703125" customWidth="1"/>
  </cols>
  <sheetData>
    <row r="1" spans="1:7" x14ac:dyDescent="0.25">
      <c r="B1" s="32" t="s">
        <v>200</v>
      </c>
      <c r="C1" s="32" t="s">
        <v>132</v>
      </c>
      <c r="D1" s="32" t="s">
        <v>133</v>
      </c>
      <c r="E1" s="32" t="s">
        <v>197</v>
      </c>
      <c r="F1" s="32" t="s">
        <v>198</v>
      </c>
    </row>
    <row r="2" spans="1:7" x14ac:dyDescent="0.25">
      <c r="B2" s="32" t="s">
        <v>254</v>
      </c>
      <c r="C2" s="32" t="s">
        <v>254</v>
      </c>
      <c r="D2" s="32" t="s">
        <v>254</v>
      </c>
      <c r="E2" t="s">
        <v>254</v>
      </c>
      <c r="F2" s="32" t="s">
        <v>254</v>
      </c>
      <c r="G2" s="32"/>
    </row>
    <row r="3" spans="1:7" x14ac:dyDescent="0.25">
      <c r="A3" t="s">
        <v>59</v>
      </c>
      <c r="B3">
        <v>29.42</v>
      </c>
      <c r="C3">
        <v>29.63</v>
      </c>
      <c r="D3">
        <v>29.63</v>
      </c>
      <c r="E3">
        <v>29.42</v>
      </c>
      <c r="F3">
        <v>29.42</v>
      </c>
    </row>
    <row r="4" spans="1:7" x14ac:dyDescent="0.25">
      <c r="A4" t="s">
        <v>247</v>
      </c>
      <c r="B4">
        <v>0</v>
      </c>
      <c r="C4">
        <v>0</v>
      </c>
      <c r="D4">
        <v>0</v>
      </c>
      <c r="E4">
        <v>0</v>
      </c>
      <c r="F4">
        <v>0</v>
      </c>
    </row>
    <row r="5" spans="1:7" x14ac:dyDescent="0.25">
      <c r="A5" t="s">
        <v>248</v>
      </c>
      <c r="B5">
        <v>0.14000000000000001</v>
      </c>
      <c r="C5">
        <v>0.14000000000000001</v>
      </c>
      <c r="D5">
        <v>0.14000000000000001</v>
      </c>
      <c r="E5">
        <v>0.14000000000000001</v>
      </c>
      <c r="F5">
        <v>0.14000000000000001</v>
      </c>
    </row>
    <row r="6" spans="1:7" x14ac:dyDescent="0.25">
      <c r="A6" t="s">
        <v>249</v>
      </c>
      <c r="B6">
        <v>0.28000000000000003</v>
      </c>
      <c r="C6">
        <v>0.28000000000000003</v>
      </c>
      <c r="D6">
        <v>0.28000000000000003</v>
      </c>
      <c r="E6">
        <v>0.28000000000000003</v>
      </c>
      <c r="F6">
        <v>0.28000000000000003</v>
      </c>
    </row>
    <row r="7" spans="1:7" x14ac:dyDescent="0.25">
      <c r="A7" t="s">
        <v>250</v>
      </c>
      <c r="B7">
        <v>0.59</v>
      </c>
      <c r="C7">
        <v>0.59</v>
      </c>
      <c r="D7">
        <v>0.59</v>
      </c>
      <c r="E7">
        <v>0.59</v>
      </c>
      <c r="F7">
        <v>0.27</v>
      </c>
    </row>
    <row r="8" spans="1:7" x14ac:dyDescent="0.25">
      <c r="A8" t="s">
        <v>251</v>
      </c>
      <c r="B8">
        <v>0.7</v>
      </c>
      <c r="C8">
        <v>0.7</v>
      </c>
      <c r="D8">
        <v>0.7</v>
      </c>
      <c r="E8">
        <v>0.7</v>
      </c>
      <c r="F8">
        <v>0.7</v>
      </c>
    </row>
    <row r="9" spans="1:7" x14ac:dyDescent="0.25">
      <c r="A9" t="s">
        <v>31</v>
      </c>
      <c r="B9">
        <v>0.04</v>
      </c>
      <c r="C9">
        <v>0.04</v>
      </c>
      <c r="D9">
        <v>0.04</v>
      </c>
      <c r="E9">
        <v>0.04</v>
      </c>
      <c r="F9">
        <v>0.04</v>
      </c>
    </row>
    <row r="10" spans="1:7" x14ac:dyDescent="0.25">
      <c r="A10" t="s">
        <v>252</v>
      </c>
      <c r="B10">
        <v>0.82</v>
      </c>
      <c r="C10">
        <v>0.82</v>
      </c>
      <c r="D10">
        <v>0.82</v>
      </c>
      <c r="E10">
        <v>0.82</v>
      </c>
      <c r="F10">
        <v>0.42</v>
      </c>
    </row>
    <row r="11" spans="1:7" x14ac:dyDescent="0.25">
      <c r="A11" t="s">
        <v>51</v>
      </c>
      <c r="B11">
        <v>2.79</v>
      </c>
      <c r="C11">
        <v>2.79</v>
      </c>
      <c r="D11">
        <v>2.79</v>
      </c>
      <c r="E11">
        <v>2.79</v>
      </c>
      <c r="F11">
        <v>2.79</v>
      </c>
    </row>
    <row r="12" spans="1:7" x14ac:dyDescent="0.25">
      <c r="A12" t="s">
        <v>65</v>
      </c>
      <c r="B12">
        <v>15.62</v>
      </c>
      <c r="C12">
        <v>15.66</v>
      </c>
      <c r="D12">
        <v>15.66</v>
      </c>
      <c r="E12">
        <v>15.62</v>
      </c>
      <c r="F12">
        <v>14.5</v>
      </c>
    </row>
    <row r="13" spans="1:7" x14ac:dyDescent="0.25">
      <c r="A13" t="s">
        <v>253</v>
      </c>
      <c r="B13">
        <v>50.4</v>
      </c>
      <c r="C13">
        <v>50.65</v>
      </c>
      <c r="D13">
        <v>50.65</v>
      </c>
      <c r="E13">
        <v>50.4</v>
      </c>
      <c r="F13">
        <v>48.57</v>
      </c>
    </row>
    <row r="15" spans="1:7" x14ac:dyDescent="0.25">
      <c r="B15" s="32" t="s">
        <v>205</v>
      </c>
      <c r="C15" t="s">
        <v>323</v>
      </c>
    </row>
    <row r="16" spans="1:7" x14ac:dyDescent="0.25">
      <c r="B16" s="32" t="s">
        <v>254</v>
      </c>
      <c r="C16" s="35" t="s">
        <v>254</v>
      </c>
    </row>
    <row r="17" spans="1:3" x14ac:dyDescent="0.25">
      <c r="A17" t="s">
        <v>59</v>
      </c>
      <c r="B17">
        <v>31.28</v>
      </c>
      <c r="C17">
        <v>31.28</v>
      </c>
    </row>
    <row r="18" spans="1:3" x14ac:dyDescent="0.25">
      <c r="A18" t="s">
        <v>247</v>
      </c>
      <c r="B18">
        <v>0</v>
      </c>
      <c r="C18">
        <v>0</v>
      </c>
    </row>
    <row r="19" spans="1:3" x14ac:dyDescent="0.25">
      <c r="A19" t="s">
        <v>248</v>
      </c>
      <c r="B19">
        <v>0.15</v>
      </c>
      <c r="C19">
        <v>0.15</v>
      </c>
    </row>
    <row r="20" spans="1:3" x14ac:dyDescent="0.25">
      <c r="A20" t="s">
        <v>250</v>
      </c>
      <c r="B20">
        <v>0.59</v>
      </c>
      <c r="C20">
        <v>0.27</v>
      </c>
    </row>
    <row r="21" spans="1:3" x14ac:dyDescent="0.25">
      <c r="A21" t="s">
        <v>31</v>
      </c>
      <c r="B21">
        <v>0.04</v>
      </c>
      <c r="C21">
        <v>0.04</v>
      </c>
    </row>
    <row r="22" spans="1:3" x14ac:dyDescent="0.25">
      <c r="A22" t="s">
        <v>252</v>
      </c>
      <c r="B22">
        <v>0.82</v>
      </c>
      <c r="C22">
        <v>0.42</v>
      </c>
    </row>
    <row r="23" spans="1:3" x14ac:dyDescent="0.25">
      <c r="A23" t="s">
        <v>51</v>
      </c>
      <c r="B23">
        <v>2.91</v>
      </c>
      <c r="C23">
        <v>2.91</v>
      </c>
    </row>
    <row r="24" spans="1:3" x14ac:dyDescent="0.25">
      <c r="A24" t="s">
        <v>65</v>
      </c>
      <c r="B24">
        <v>12.99</v>
      </c>
      <c r="C24">
        <v>12.48</v>
      </c>
    </row>
    <row r="25" spans="1:3" x14ac:dyDescent="0.25">
      <c r="A25" t="s">
        <v>253</v>
      </c>
      <c r="B25">
        <v>48.78</v>
      </c>
      <c r="C25">
        <v>47.56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24" sqref="A24:C40"/>
    </sheetView>
  </sheetViews>
  <sheetFormatPr baseColWidth="10" defaultRowHeight="15" x14ac:dyDescent="0.25"/>
  <cols>
    <col min="1" max="1" width="20.28515625" customWidth="1"/>
    <col min="2" max="6" width="17" customWidth="1"/>
  </cols>
  <sheetData>
    <row r="1" spans="1:6" x14ac:dyDescent="0.25">
      <c r="A1" t="s">
        <v>255</v>
      </c>
    </row>
    <row r="2" spans="1:6" x14ac:dyDescent="0.25">
      <c r="B2" s="32" t="s">
        <v>200</v>
      </c>
      <c r="C2" s="32" t="s">
        <v>132</v>
      </c>
      <c r="D2" s="32" t="s">
        <v>133</v>
      </c>
      <c r="E2" s="32" t="s">
        <v>197</v>
      </c>
      <c r="F2" s="32" t="s">
        <v>198</v>
      </c>
    </row>
    <row r="3" spans="1:6" x14ac:dyDescent="0.25">
      <c r="B3" s="47" t="s">
        <v>256</v>
      </c>
      <c r="C3" s="47" t="s">
        <v>256</v>
      </c>
      <c r="D3" s="47" t="s">
        <v>256</v>
      </c>
      <c r="E3" s="47" t="s">
        <v>256</v>
      </c>
      <c r="F3" s="47" t="s">
        <v>256</v>
      </c>
    </row>
    <row r="4" spans="1:6" x14ac:dyDescent="0.25">
      <c r="A4" t="s">
        <v>247</v>
      </c>
      <c r="B4" s="47">
        <v>53.63</v>
      </c>
      <c r="C4" s="47">
        <v>53.63</v>
      </c>
      <c r="D4" s="47">
        <v>53.63</v>
      </c>
      <c r="E4" s="47">
        <v>53.63</v>
      </c>
      <c r="F4" s="47">
        <v>268.14</v>
      </c>
    </row>
    <row r="5" spans="1:6" x14ac:dyDescent="0.25">
      <c r="A5" t="s">
        <v>248</v>
      </c>
      <c r="B5" s="47">
        <v>2127.48</v>
      </c>
      <c r="C5" s="47">
        <v>2127.48</v>
      </c>
      <c r="D5" s="47">
        <v>2127.48</v>
      </c>
      <c r="E5" s="47">
        <v>2127.48</v>
      </c>
      <c r="F5" s="47">
        <v>10637.41</v>
      </c>
    </row>
    <row r="6" spans="1:6" x14ac:dyDescent="0.25">
      <c r="A6" t="s">
        <v>60</v>
      </c>
      <c r="B6" s="47">
        <v>0</v>
      </c>
      <c r="C6" s="47">
        <v>0</v>
      </c>
      <c r="D6" s="47">
        <v>0</v>
      </c>
      <c r="E6" s="47">
        <v>0</v>
      </c>
      <c r="F6" s="47">
        <v>0</v>
      </c>
    </row>
    <row r="7" spans="1:6" x14ac:dyDescent="0.25">
      <c r="A7" t="s">
        <v>66</v>
      </c>
      <c r="B7" s="47" t="s">
        <v>257</v>
      </c>
      <c r="C7" s="47" t="s">
        <v>257</v>
      </c>
      <c r="D7" s="47" t="s">
        <v>257</v>
      </c>
      <c r="E7" s="47" t="s">
        <v>257</v>
      </c>
      <c r="F7" s="47" t="s">
        <v>282</v>
      </c>
    </row>
    <row r="8" spans="1:6" x14ac:dyDescent="0.25">
      <c r="A8" t="s">
        <v>249</v>
      </c>
      <c r="B8" s="47">
        <v>4342.66</v>
      </c>
      <c r="C8" s="47">
        <v>4342.66</v>
      </c>
      <c r="D8" s="47">
        <v>4342.66</v>
      </c>
      <c r="E8" s="47">
        <v>4342.66</v>
      </c>
      <c r="F8" s="47">
        <v>21713.279999999999</v>
      </c>
    </row>
    <row r="9" spans="1:6" x14ac:dyDescent="0.25">
      <c r="A9" t="s">
        <v>265</v>
      </c>
      <c r="B9" s="47" t="s">
        <v>258</v>
      </c>
      <c r="C9" s="47" t="s">
        <v>258</v>
      </c>
      <c r="D9" s="47" t="s">
        <v>258</v>
      </c>
      <c r="E9" s="47" t="s">
        <v>258</v>
      </c>
      <c r="F9" s="47" t="s">
        <v>283</v>
      </c>
    </row>
    <row r="10" spans="1:6" x14ac:dyDescent="0.25">
      <c r="A10" t="s">
        <v>266</v>
      </c>
      <c r="B10" s="47" t="s">
        <v>259</v>
      </c>
      <c r="C10" s="47" t="s">
        <v>259</v>
      </c>
      <c r="D10" s="47" t="s">
        <v>259</v>
      </c>
      <c r="E10" s="47" t="s">
        <v>259</v>
      </c>
      <c r="F10" s="47" t="s">
        <v>284</v>
      </c>
    </row>
    <row r="11" spans="1:6" x14ac:dyDescent="0.25">
      <c r="A11" t="s">
        <v>31</v>
      </c>
      <c r="B11" s="47">
        <v>576.14</v>
      </c>
      <c r="C11" s="47">
        <v>576.14</v>
      </c>
      <c r="D11" s="47">
        <v>576.14</v>
      </c>
      <c r="E11" s="47">
        <v>576.14</v>
      </c>
      <c r="F11" s="47">
        <v>2880.68</v>
      </c>
    </row>
    <row r="12" spans="1:6" x14ac:dyDescent="0.25">
      <c r="A12" t="s">
        <v>267</v>
      </c>
      <c r="B12" s="47">
        <v>7275.34</v>
      </c>
      <c r="C12" s="47">
        <v>7275.34</v>
      </c>
      <c r="D12" s="47">
        <v>7275.34</v>
      </c>
      <c r="E12" s="47">
        <v>7275.34</v>
      </c>
      <c r="F12" s="47">
        <v>36376.69</v>
      </c>
    </row>
    <row r="13" spans="1:6" x14ac:dyDescent="0.25">
      <c r="A13" t="s">
        <v>268</v>
      </c>
      <c r="B13" s="47" t="s">
        <v>260</v>
      </c>
      <c r="C13" s="47">
        <v>0</v>
      </c>
      <c r="D13" s="47">
        <v>0</v>
      </c>
      <c r="E13" s="47">
        <v>0</v>
      </c>
      <c r="F13" s="47" t="s">
        <v>260</v>
      </c>
    </row>
    <row r="14" spans="1:6" x14ac:dyDescent="0.25">
      <c r="A14" t="s">
        <v>269</v>
      </c>
      <c r="B14" s="47">
        <v>0</v>
      </c>
      <c r="C14" s="47">
        <v>0</v>
      </c>
      <c r="D14" s="47">
        <v>0</v>
      </c>
      <c r="E14" s="47">
        <v>0</v>
      </c>
      <c r="F14" s="47" t="s">
        <v>260</v>
      </c>
    </row>
    <row r="15" spans="1:6" x14ac:dyDescent="0.25">
      <c r="A15" t="s">
        <v>270</v>
      </c>
      <c r="B15" s="47" t="s">
        <v>261</v>
      </c>
      <c r="C15" s="47" t="s">
        <v>261</v>
      </c>
      <c r="D15" s="47" t="s">
        <v>261</v>
      </c>
      <c r="E15" s="47" t="s">
        <v>261</v>
      </c>
      <c r="F15" s="47" t="s">
        <v>285</v>
      </c>
    </row>
    <row r="16" spans="1:6" x14ac:dyDescent="0.25">
      <c r="A16" t="s">
        <v>271</v>
      </c>
      <c r="B16" s="47" t="s">
        <v>262</v>
      </c>
      <c r="C16" s="47" t="s">
        <v>262</v>
      </c>
      <c r="D16" s="47" t="s">
        <v>262</v>
      </c>
      <c r="E16" s="47" t="s">
        <v>262</v>
      </c>
      <c r="F16" s="47" t="s">
        <v>286</v>
      </c>
    </row>
    <row r="17" spans="1:6" x14ac:dyDescent="0.25">
      <c r="A17" t="s">
        <v>272</v>
      </c>
      <c r="B17" s="47" t="s">
        <v>263</v>
      </c>
      <c r="C17" s="47" t="s">
        <v>263</v>
      </c>
      <c r="D17" s="47" t="s">
        <v>263</v>
      </c>
      <c r="E17" s="47" t="s">
        <v>263</v>
      </c>
      <c r="F17" s="47" t="s">
        <v>287</v>
      </c>
    </row>
    <row r="18" spans="1:6" x14ac:dyDescent="0.25">
      <c r="A18" t="s">
        <v>273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</row>
    <row r="19" spans="1:6" x14ac:dyDescent="0.25">
      <c r="A19" t="s">
        <v>274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</row>
    <row r="20" spans="1:6" x14ac:dyDescent="0.25">
      <c r="A20" t="s">
        <v>51</v>
      </c>
      <c r="B20" s="47">
        <v>41874.589999999997</v>
      </c>
      <c r="C20" s="47">
        <v>41874.589999999997</v>
      </c>
      <c r="D20" s="47">
        <v>41874.589999999997</v>
      </c>
      <c r="E20" s="47">
        <v>41874.589999999997</v>
      </c>
      <c r="F20" s="47">
        <v>209372.96</v>
      </c>
    </row>
    <row r="21" spans="1:6" x14ac:dyDescent="0.25">
      <c r="A21" t="s">
        <v>65</v>
      </c>
      <c r="B21" s="47" t="s">
        <v>264</v>
      </c>
      <c r="C21" s="47" t="s">
        <v>264</v>
      </c>
      <c r="D21" s="47" t="s">
        <v>264</v>
      </c>
      <c r="E21" s="47" t="s">
        <v>264</v>
      </c>
      <c r="F21" s="47" t="s">
        <v>288</v>
      </c>
    </row>
    <row r="22" spans="1:6" x14ac:dyDescent="0.25">
      <c r="A22" t="s">
        <v>253</v>
      </c>
      <c r="B22" s="47">
        <v>0.06</v>
      </c>
      <c r="C22" s="47">
        <v>0.06</v>
      </c>
      <c r="D22" s="47">
        <v>0.06</v>
      </c>
      <c r="E22" s="47">
        <v>0.06</v>
      </c>
      <c r="F22" s="47">
        <v>0.32</v>
      </c>
    </row>
    <row r="23" spans="1:6" x14ac:dyDescent="0.25">
      <c r="B23" s="47"/>
      <c r="C23" s="47"/>
      <c r="D23" s="47"/>
    </row>
    <row r="24" spans="1:6" x14ac:dyDescent="0.25">
      <c r="B24" s="32" t="s">
        <v>205</v>
      </c>
      <c r="C24" s="47" t="s">
        <v>323</v>
      </c>
      <c r="D24" s="47"/>
    </row>
    <row r="25" spans="1:6" x14ac:dyDescent="0.25">
      <c r="B25" s="47" t="s">
        <v>256</v>
      </c>
      <c r="C25" s="47" t="s">
        <v>256</v>
      </c>
    </row>
    <row r="26" spans="1:6" x14ac:dyDescent="0.25">
      <c r="A26" t="s">
        <v>247</v>
      </c>
      <c r="B26" s="47">
        <v>55.58</v>
      </c>
      <c r="C26" s="47">
        <v>277.91000000000003</v>
      </c>
    </row>
    <row r="27" spans="1:6" x14ac:dyDescent="0.25">
      <c r="A27" t="s">
        <v>248</v>
      </c>
      <c r="B27" s="47">
        <v>2204.98</v>
      </c>
      <c r="C27" s="47">
        <v>11024.86</v>
      </c>
    </row>
    <row r="28" spans="1:6" x14ac:dyDescent="0.25">
      <c r="A28" t="s">
        <v>60</v>
      </c>
      <c r="B28" s="47" t="s">
        <v>275</v>
      </c>
      <c r="C28" s="47" t="s">
        <v>324</v>
      </c>
    </row>
    <row r="29" spans="1:6" x14ac:dyDescent="0.25">
      <c r="A29" t="s">
        <v>66</v>
      </c>
      <c r="B29" s="47" t="s">
        <v>276</v>
      </c>
      <c r="C29" s="47" t="s">
        <v>325</v>
      </c>
    </row>
    <row r="30" spans="1:6" x14ac:dyDescent="0.25">
      <c r="A30" t="s">
        <v>266</v>
      </c>
      <c r="B30" s="47" t="s">
        <v>277</v>
      </c>
      <c r="C30" s="47" t="s">
        <v>326</v>
      </c>
    </row>
    <row r="31" spans="1:6" x14ac:dyDescent="0.25">
      <c r="A31" t="s">
        <v>31</v>
      </c>
      <c r="B31" s="47">
        <v>597.12</v>
      </c>
      <c r="C31" s="47">
        <v>2985.61</v>
      </c>
    </row>
    <row r="32" spans="1:6" x14ac:dyDescent="0.25">
      <c r="A32" t="s">
        <v>268</v>
      </c>
      <c r="B32" s="47" t="s">
        <v>278</v>
      </c>
      <c r="C32" s="47" t="s">
        <v>327</v>
      </c>
    </row>
    <row r="33" spans="1:3" x14ac:dyDescent="0.25">
      <c r="A33" t="s">
        <v>269</v>
      </c>
      <c r="B33" s="47" t="s">
        <v>279</v>
      </c>
      <c r="C33" s="47" t="s">
        <v>328</v>
      </c>
    </row>
    <row r="34" spans="1:3" x14ac:dyDescent="0.25">
      <c r="A34" t="s">
        <v>270</v>
      </c>
      <c r="B34" s="47" t="s">
        <v>280</v>
      </c>
      <c r="C34" s="47" t="s">
        <v>329</v>
      </c>
    </row>
    <row r="35" spans="1:3" x14ac:dyDescent="0.25">
      <c r="A35" t="s">
        <v>271</v>
      </c>
      <c r="B35" s="47" t="s">
        <v>281</v>
      </c>
      <c r="C35" s="47" t="s">
        <v>330</v>
      </c>
    </row>
    <row r="36" spans="1:3" x14ac:dyDescent="0.25">
      <c r="A36" t="s">
        <v>273</v>
      </c>
      <c r="B36" s="47">
        <v>0</v>
      </c>
      <c r="C36" s="47">
        <v>0</v>
      </c>
    </row>
    <row r="37" spans="1:3" x14ac:dyDescent="0.25">
      <c r="A37" t="s">
        <v>274</v>
      </c>
      <c r="B37" s="47">
        <v>0</v>
      </c>
      <c r="C37" s="47">
        <v>0</v>
      </c>
    </row>
    <row r="38" spans="1:3" x14ac:dyDescent="0.25">
      <c r="A38" t="s">
        <v>51</v>
      </c>
      <c r="B38" s="47">
        <v>43391.7</v>
      </c>
      <c r="C38" s="47">
        <v>216957.85</v>
      </c>
    </row>
    <row r="39" spans="1:3" x14ac:dyDescent="0.25">
      <c r="A39" t="s">
        <v>65</v>
      </c>
      <c r="B39" s="47">
        <v>0</v>
      </c>
      <c r="C39" s="47">
        <v>0</v>
      </c>
    </row>
    <row r="40" spans="1:3" x14ac:dyDescent="0.25">
      <c r="A40" t="s">
        <v>253</v>
      </c>
      <c r="B40" s="47">
        <v>417.51</v>
      </c>
      <c r="C40" s="47">
        <v>2087.56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F3" sqref="F3"/>
    </sheetView>
  </sheetViews>
  <sheetFormatPr baseColWidth="10" defaultRowHeight="15" x14ac:dyDescent="0.25"/>
  <cols>
    <col min="1" max="1" width="21.140625" customWidth="1"/>
  </cols>
  <sheetData>
    <row r="2" spans="1:6" x14ac:dyDescent="0.25">
      <c r="F2" t="s">
        <v>38</v>
      </c>
    </row>
    <row r="3" spans="1:6" x14ac:dyDescent="0.25">
      <c r="A3" t="s">
        <v>39</v>
      </c>
      <c r="B3" t="s">
        <v>40</v>
      </c>
      <c r="C3">
        <v>1</v>
      </c>
      <c r="D3">
        <v>12</v>
      </c>
      <c r="E3">
        <f>D3*C3</f>
        <v>12</v>
      </c>
      <c r="F3">
        <f>C3*$E$12</f>
        <v>1.1865211200759371</v>
      </c>
    </row>
    <row r="4" spans="1:6" x14ac:dyDescent="0.25">
      <c r="B4" t="s">
        <v>41</v>
      </c>
      <c r="C4">
        <v>1.8</v>
      </c>
      <c r="D4">
        <v>1</v>
      </c>
      <c r="E4">
        <f t="shared" ref="E4:E8" si="0">D4*C4</f>
        <v>1.8</v>
      </c>
      <c r="F4">
        <f t="shared" ref="F4:F8" si="1">C4*$E$12</f>
        <v>2.135738016136687</v>
      </c>
    </row>
    <row r="5" spans="1:6" x14ac:dyDescent="0.25">
      <c r="B5" t="s">
        <v>42</v>
      </c>
      <c r="C5">
        <v>0.5</v>
      </c>
      <c r="D5">
        <v>16</v>
      </c>
      <c r="E5">
        <f t="shared" si="0"/>
        <v>8</v>
      </c>
      <c r="F5">
        <f t="shared" si="1"/>
        <v>0.59326056003796857</v>
      </c>
    </row>
    <row r="6" spans="1:6" x14ac:dyDescent="0.25">
      <c r="B6" t="s">
        <v>43</v>
      </c>
      <c r="C6">
        <v>0.2</v>
      </c>
      <c r="D6">
        <v>14</v>
      </c>
      <c r="E6">
        <f t="shared" si="0"/>
        <v>2.8000000000000003</v>
      </c>
      <c r="F6">
        <f t="shared" si="1"/>
        <v>0.23730422401518744</v>
      </c>
    </row>
    <row r="7" spans="1:6" x14ac:dyDescent="0.25">
      <c r="B7" t="s">
        <v>44</v>
      </c>
      <c r="C7">
        <v>2E-3</v>
      </c>
      <c r="D7">
        <v>32</v>
      </c>
      <c r="E7">
        <f t="shared" si="0"/>
        <v>6.4000000000000001E-2</v>
      </c>
      <c r="F7">
        <f t="shared" si="1"/>
        <v>2.3730422401518742E-3</v>
      </c>
    </row>
    <row r="8" spans="1:6" x14ac:dyDescent="0.25">
      <c r="B8" t="s">
        <v>45</v>
      </c>
      <c r="C8">
        <v>0.02</v>
      </c>
      <c r="D8">
        <v>31</v>
      </c>
      <c r="E8">
        <f t="shared" si="0"/>
        <v>0.62</v>
      </c>
      <c r="F8">
        <f t="shared" si="1"/>
        <v>2.3730422401518743E-2</v>
      </c>
    </row>
    <row r="10" spans="1:6" x14ac:dyDescent="0.25">
      <c r="D10" t="s">
        <v>47</v>
      </c>
      <c r="E10">
        <f>SUM(E3:E8)</f>
        <v>25.284000000000002</v>
      </c>
    </row>
    <row r="11" spans="1:6" x14ac:dyDescent="0.25">
      <c r="D11" t="s">
        <v>37</v>
      </c>
      <c r="E11">
        <v>30</v>
      </c>
    </row>
    <row r="12" spans="1:6" x14ac:dyDescent="0.25">
      <c r="D12" t="s">
        <v>46</v>
      </c>
      <c r="E12">
        <f>E11/E10</f>
        <v>1.1865211200759371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16" sqref="H16"/>
    </sheetView>
  </sheetViews>
  <sheetFormatPr baseColWidth="10" defaultRowHeight="15" x14ac:dyDescent="0.25"/>
  <cols>
    <col min="1" max="1" width="18.140625" customWidth="1"/>
    <col min="2" max="2" width="15.42578125" customWidth="1"/>
  </cols>
  <sheetData>
    <row r="1" spans="1:8" ht="30" x14ac:dyDescent="0.25">
      <c r="A1" s="28" t="s">
        <v>48</v>
      </c>
      <c r="B1" s="29" t="s">
        <v>170</v>
      </c>
      <c r="C1" s="29"/>
      <c r="D1" s="29"/>
      <c r="E1" s="29" t="s">
        <v>132</v>
      </c>
      <c r="F1" s="29" t="s">
        <v>133</v>
      </c>
      <c r="G1" s="29" t="s">
        <v>171</v>
      </c>
    </row>
    <row r="2" spans="1:8" x14ac:dyDescent="0.25">
      <c r="A2" s="8" t="s">
        <v>49</v>
      </c>
      <c r="B2" s="8">
        <v>8.9300000000000002E-4</v>
      </c>
      <c r="E2" s="21">
        <f>B2</f>
        <v>8.9300000000000002E-4</v>
      </c>
      <c r="F2" s="12">
        <f>B2*(1-Scenarios!$L$28)</f>
        <v>8.9299999999999989E-5</v>
      </c>
      <c r="G2" s="12" t="s">
        <v>172</v>
      </c>
    </row>
    <row r="3" spans="1:8" x14ac:dyDescent="0.25">
      <c r="A3" s="8" t="s">
        <v>50</v>
      </c>
      <c r="B3" s="8">
        <v>1.25E-3</v>
      </c>
      <c r="E3" s="21">
        <f>B3</f>
        <v>1.25E-3</v>
      </c>
      <c r="F3" s="12">
        <f>B3*(1-Scenarios!$L$28)</f>
        <v>1.2499999999999998E-4</v>
      </c>
    </row>
    <row r="4" spans="1:8" x14ac:dyDescent="0.25">
      <c r="A4" s="8" t="s">
        <v>51</v>
      </c>
      <c r="B4">
        <v>0.246</v>
      </c>
      <c r="C4" s="20" t="s">
        <v>52</v>
      </c>
      <c r="E4" s="12">
        <f>B4*Scenarios!J46</f>
        <v>0.19670725453703566</v>
      </c>
      <c r="F4">
        <f>B4</f>
        <v>0.246</v>
      </c>
    </row>
    <row r="5" spans="1:8" x14ac:dyDescent="0.25">
      <c r="A5" s="8" t="s">
        <v>31</v>
      </c>
      <c r="B5" s="27">
        <v>0.8</v>
      </c>
      <c r="E5" s="12">
        <f>B5*Scenarios!J47</f>
        <v>0.2</v>
      </c>
      <c r="F5">
        <f t="shared" ref="F5:F14" si="0">B5</f>
        <v>0.8</v>
      </c>
    </row>
    <row r="6" spans="1:8" ht="18" x14ac:dyDescent="0.25">
      <c r="A6" s="8" t="s">
        <v>83</v>
      </c>
      <c r="B6" s="8">
        <v>0.27</v>
      </c>
      <c r="E6" s="12">
        <f>B6*Scenarios!J49</f>
        <v>6.7499999688739612E-2</v>
      </c>
      <c r="F6">
        <f t="shared" si="0"/>
        <v>0.27</v>
      </c>
    </row>
    <row r="7" spans="1:8" x14ac:dyDescent="0.25">
      <c r="A7" s="19" t="s">
        <v>32</v>
      </c>
      <c r="B7" s="9">
        <v>0.17899999999999999</v>
      </c>
      <c r="E7" s="12">
        <f>B7*Scenarios!J48</f>
        <v>4.4749999999999998E-2</v>
      </c>
      <c r="F7">
        <f t="shared" si="0"/>
        <v>0.17899999999999999</v>
      </c>
    </row>
    <row r="8" spans="1:8" x14ac:dyDescent="0.25">
      <c r="A8" s="9" t="s">
        <v>33</v>
      </c>
      <c r="B8" s="9">
        <v>0.25</v>
      </c>
      <c r="E8" s="12">
        <v>0.25</v>
      </c>
      <c r="F8">
        <f t="shared" si="0"/>
        <v>0.25</v>
      </c>
    </row>
    <row r="9" spans="1:8" x14ac:dyDescent="0.25">
      <c r="A9" s="8" t="s">
        <v>53</v>
      </c>
      <c r="B9" s="8">
        <v>35.32</v>
      </c>
      <c r="F9">
        <f t="shared" si="0"/>
        <v>35.32</v>
      </c>
    </row>
    <row r="10" spans="1:8" x14ac:dyDescent="0.25">
      <c r="A10" s="27" t="s">
        <v>54</v>
      </c>
      <c r="B10" s="26">
        <v>2.54</v>
      </c>
      <c r="E10" s="12">
        <f>B10</f>
        <v>2.54</v>
      </c>
      <c r="F10">
        <f t="shared" si="0"/>
        <v>2.54</v>
      </c>
    </row>
    <row r="12" spans="1:8" x14ac:dyDescent="0.25">
      <c r="A12" t="s">
        <v>168</v>
      </c>
      <c r="B12">
        <v>0.15959000000000001</v>
      </c>
      <c r="E12" s="12">
        <v>0.15959000000000001</v>
      </c>
      <c r="F12">
        <f t="shared" si="0"/>
        <v>0.15959000000000001</v>
      </c>
    </row>
    <row r="13" spans="1:8" x14ac:dyDescent="0.25">
      <c r="A13" t="s">
        <v>98</v>
      </c>
      <c r="B13">
        <v>0.23826800000000001</v>
      </c>
      <c r="E13" s="12">
        <v>0.23826800000000001</v>
      </c>
      <c r="F13">
        <f t="shared" si="0"/>
        <v>0.23826800000000001</v>
      </c>
    </row>
    <row r="14" spans="1:8" x14ac:dyDescent="0.25">
      <c r="A14" t="s">
        <v>169</v>
      </c>
      <c r="B14">
        <v>7.0889999999999998E-3</v>
      </c>
      <c r="E14" s="12">
        <v>7.0889999999999998E-3</v>
      </c>
      <c r="F14">
        <f t="shared" si="0"/>
        <v>7.0889999999999998E-3</v>
      </c>
    </row>
    <row r="16" spans="1:8" x14ac:dyDescent="0.25">
      <c r="A16" t="s">
        <v>346</v>
      </c>
      <c r="B16">
        <v>39.6</v>
      </c>
      <c r="H16">
        <v>7.92</v>
      </c>
    </row>
    <row r="21" spans="1:8" ht="18" x14ac:dyDescent="0.25">
      <c r="A21" s="8" t="s">
        <v>82</v>
      </c>
      <c r="B21" s="8">
        <v>0.42099999999999999</v>
      </c>
    </row>
    <row r="23" spans="1:8" x14ac:dyDescent="0.25">
      <c r="A23" t="s">
        <v>347</v>
      </c>
      <c r="B23">
        <v>18</v>
      </c>
      <c r="H23">
        <v>3.6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22" sqref="C22"/>
    </sheetView>
  </sheetViews>
  <sheetFormatPr baseColWidth="10" defaultRowHeight="15" x14ac:dyDescent="0.25"/>
  <sheetData>
    <row r="1" spans="1:2" x14ac:dyDescent="0.25">
      <c r="A1" t="s">
        <v>59</v>
      </c>
      <c r="B1">
        <f>SUM(B2:B5)</f>
        <v>100</v>
      </c>
    </row>
    <row r="2" spans="1:2" x14ac:dyDescent="0.25">
      <c r="A2" t="s">
        <v>60</v>
      </c>
      <c r="B2">
        <v>0.92</v>
      </c>
    </row>
    <row r="3" spans="1:2" x14ac:dyDescent="0.25">
      <c r="A3" t="s">
        <v>61</v>
      </c>
      <c r="B3">
        <v>0.04</v>
      </c>
    </row>
    <row r="4" spans="1:2" x14ac:dyDescent="0.25">
      <c r="A4" t="s">
        <v>62</v>
      </c>
      <c r="B4">
        <v>78.09</v>
      </c>
    </row>
    <row r="5" spans="1:2" x14ac:dyDescent="0.25">
      <c r="A5" t="s">
        <v>63</v>
      </c>
      <c r="B5">
        <v>20.95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workbookViewId="0">
      <selection activeCell="I11" sqref="I11"/>
    </sheetView>
  </sheetViews>
  <sheetFormatPr baseColWidth="10" defaultRowHeight="15" x14ac:dyDescent="0.25"/>
  <cols>
    <col min="1" max="1" width="17.85546875" customWidth="1"/>
  </cols>
  <sheetData>
    <row r="3" spans="1:11" x14ac:dyDescent="0.25">
      <c r="B3" s="55" t="s">
        <v>69</v>
      </c>
      <c r="C3" s="55"/>
      <c r="D3" s="55" t="s">
        <v>70</v>
      </c>
      <c r="E3" s="55"/>
      <c r="F3" s="55" t="s">
        <v>71</v>
      </c>
      <c r="G3" s="55"/>
      <c r="H3" s="55" t="s">
        <v>72</v>
      </c>
      <c r="I3" s="55"/>
    </row>
    <row r="4" spans="1:11" x14ac:dyDescent="0.25">
      <c r="A4" t="s">
        <v>64</v>
      </c>
      <c r="B4" t="s">
        <v>73</v>
      </c>
      <c r="C4" t="s">
        <v>74</v>
      </c>
      <c r="D4" t="s">
        <v>73</v>
      </c>
      <c r="E4" t="s">
        <v>74</v>
      </c>
      <c r="F4" t="s">
        <v>73</v>
      </c>
      <c r="G4" t="s">
        <v>74</v>
      </c>
      <c r="H4" t="s">
        <v>73</v>
      </c>
      <c r="I4" t="s">
        <v>74</v>
      </c>
    </row>
    <row r="5" spans="1:11" x14ac:dyDescent="0.25">
      <c r="A5" s="8" t="s">
        <v>51</v>
      </c>
      <c r="B5" s="5">
        <f>INPUTS!B22+INPUTS!B26</f>
        <v>17.422222222222221</v>
      </c>
      <c r="D5" s="5">
        <f>INPUTS!C22+INPUTS!C26</f>
        <v>249.24444444444444</v>
      </c>
      <c r="F5" s="5">
        <f>INPUTS!D22+INPUTS!D26</f>
        <v>2417.422222222222</v>
      </c>
      <c r="H5" s="5">
        <f>INPUTS!E22+INPUTS!E26+INPUTS!E32</f>
        <v>204172.61609195403</v>
      </c>
    </row>
    <row r="6" spans="1:11" x14ac:dyDescent="0.25">
      <c r="A6" s="8" t="s">
        <v>31</v>
      </c>
      <c r="B6">
        <f>INPUTS!B40/1000</f>
        <v>0.53900332225913616</v>
      </c>
      <c r="D6">
        <f>INPUTS!C40/1000</f>
        <v>13.475083056478404</v>
      </c>
      <c r="F6">
        <f>INPUTS!D40/1000</f>
        <v>134.75083056478402</v>
      </c>
      <c r="H6">
        <f>INPUTS!E40/1000</f>
        <v>2695.0166112956808</v>
      </c>
    </row>
    <row r="7" spans="1:11" x14ac:dyDescent="0.25">
      <c r="A7" s="8" t="s">
        <v>80</v>
      </c>
      <c r="B7">
        <f>INPUTS!B41/1000</f>
        <v>1.990362790697674</v>
      </c>
      <c r="D7">
        <f>INPUTS!C41/1000</f>
        <v>49.759069767441851</v>
      </c>
      <c r="F7">
        <f>INPUTS!D41/1000</f>
        <v>497.59069767441849</v>
      </c>
      <c r="H7">
        <f>INPUTS!E41/1000</f>
        <v>9951.8139534883703</v>
      </c>
    </row>
    <row r="8" spans="1:11" x14ac:dyDescent="0.25">
      <c r="A8" s="8" t="s">
        <v>32</v>
      </c>
      <c r="B8">
        <f>INPUTS!B42/1000</f>
        <v>5.0171808258186977E-2</v>
      </c>
      <c r="D8">
        <f>INPUTS!C42/1000</f>
        <v>1.2542952064546744</v>
      </c>
      <c r="F8">
        <f>INPUTS!D42/1000</f>
        <v>12.542952064546744</v>
      </c>
      <c r="H8">
        <f>INPUTS!E42/1000</f>
        <v>250.85904129093487</v>
      </c>
    </row>
    <row r="9" spans="1:11" x14ac:dyDescent="0.25">
      <c r="A9" s="8" t="s">
        <v>33</v>
      </c>
      <c r="B9">
        <f>INPUTS!B43/1000</f>
        <v>4.2848000000000006</v>
      </c>
      <c r="C9">
        <f>B9</f>
        <v>4.2848000000000006</v>
      </c>
      <c r="D9">
        <f>INPUTS!C43/1000</f>
        <v>107.12</v>
      </c>
      <c r="E9">
        <f>D9</f>
        <v>107.12</v>
      </c>
      <c r="F9">
        <f>INPUTS!D43/1000</f>
        <v>1071.2</v>
      </c>
      <c r="G9">
        <f>F9</f>
        <v>1071.2</v>
      </c>
      <c r="H9">
        <f>INPUTS!E43/1000</f>
        <v>21424</v>
      </c>
      <c r="I9">
        <f>H9</f>
        <v>21424</v>
      </c>
    </row>
    <row r="10" spans="1:11" x14ac:dyDescent="0.25">
      <c r="A10" s="8" t="s">
        <v>65</v>
      </c>
      <c r="B10" s="5">
        <f>INPUTS!B23+INPUTS!B27+INPUTS!B25+INPUTS!B44</f>
        <v>145.80564726397017</v>
      </c>
      <c r="C10" s="5">
        <f>B10</f>
        <v>145.80564726397017</v>
      </c>
      <c r="D10" s="4">
        <f>INPUTS!C23+INPUTS!C25+INPUTS!C27+INPUTS!C44+B15</f>
        <v>3779.4407964140696</v>
      </c>
      <c r="E10" s="4">
        <f>D10</f>
        <v>3779.4407964140696</v>
      </c>
      <c r="F10" s="4">
        <f>INPUTS!D23+INPUTS!D25+INPUTS!D27+INPUTS!D44+D15</f>
        <v>37943.794393770324</v>
      </c>
      <c r="G10" s="4">
        <f>F10</f>
        <v>37943.794393770324</v>
      </c>
      <c r="H10" s="4">
        <f>INPUTS!E23+INPUTS!E25+INPUTS!E27+INPUTS!E33+INPUTS!E44+F15</f>
        <v>653064.53409558523</v>
      </c>
      <c r="I10" s="4">
        <f>H10</f>
        <v>653064.53409558523</v>
      </c>
    </row>
    <row r="11" spans="1:11" x14ac:dyDescent="0.25">
      <c r="A11" s="8" t="s">
        <v>66</v>
      </c>
      <c r="C11" s="22">
        <f>INPUTS!B13</f>
        <v>7.84</v>
      </c>
      <c r="D11" s="22"/>
      <c r="E11" s="22">
        <f>INPUTS!C13</f>
        <v>112.16</v>
      </c>
      <c r="F11" s="22"/>
      <c r="G11" s="22">
        <f>INPUTS!D13</f>
        <v>1087.8399999999999</v>
      </c>
      <c r="H11" s="22"/>
      <c r="I11" s="22">
        <f>INPUTS!E13</f>
        <v>22912.16</v>
      </c>
      <c r="K11">
        <f>(I11-G11)/0.45</f>
        <v>48498.488888888889</v>
      </c>
    </row>
    <row r="12" spans="1:11" x14ac:dyDescent="0.25">
      <c r="A12" s="8" t="s">
        <v>67</v>
      </c>
      <c r="C12" s="22"/>
      <c r="D12" s="22"/>
      <c r="E12" s="22"/>
      <c r="F12" s="22"/>
      <c r="G12" s="22"/>
      <c r="H12" s="22"/>
      <c r="I12" s="22">
        <f>INPUTS!E31</f>
        <v>80000</v>
      </c>
    </row>
    <row r="13" spans="1:11" x14ac:dyDescent="0.25">
      <c r="A13" s="8" t="s">
        <v>61</v>
      </c>
      <c r="C13" s="22">
        <f>SUM(B5:B10)-(C11+C10+C9)</f>
        <v>12.16176014343722</v>
      </c>
      <c r="D13" s="22"/>
      <c r="E13" s="22">
        <f>SUM(D5:D10)-(E11+E10+E9)</f>
        <v>201.57289247481958</v>
      </c>
      <c r="F13" s="22"/>
      <c r="G13" s="22">
        <f>SUM(F5:F10)-(G11+G10+G9)</f>
        <v>1974.4667025259769</v>
      </c>
      <c r="H13" s="22"/>
      <c r="I13" s="22">
        <f>SUM(H5:H10)-(I9+I10+I11+I12)</f>
        <v>114158.14569802897</v>
      </c>
    </row>
    <row r="14" spans="1:11" x14ac:dyDescent="0.25">
      <c r="A14" s="8"/>
    </row>
    <row r="15" spans="1:11" x14ac:dyDescent="0.25">
      <c r="A15" s="8" t="s">
        <v>68</v>
      </c>
      <c r="B15" s="5">
        <f>SUM(B5:B14)</f>
        <v>170.09220740740739</v>
      </c>
      <c r="C15" s="5">
        <f t="shared" ref="C15:I15" si="0">SUM(C5:C14)</f>
        <v>170.09220740740739</v>
      </c>
      <c r="D15" s="5">
        <f t="shared" si="0"/>
        <v>4200.2936888888889</v>
      </c>
      <c r="E15" s="5">
        <f t="shared" si="0"/>
        <v>4200.2936888888889</v>
      </c>
      <c r="F15" s="5">
        <f t="shared" si="0"/>
        <v>42077.301096296294</v>
      </c>
      <c r="G15" s="5">
        <f t="shared" si="0"/>
        <v>42077.301096296294</v>
      </c>
      <c r="H15" s="5">
        <f t="shared" si="0"/>
        <v>891558.83979361423</v>
      </c>
      <c r="I15" s="5">
        <f t="shared" si="0"/>
        <v>891558.83979361423</v>
      </c>
    </row>
    <row r="16" spans="1:11" ht="30" x14ac:dyDescent="0.25">
      <c r="A16" s="8" t="s">
        <v>79</v>
      </c>
      <c r="B16" s="5">
        <f>INPUTS!B9</f>
        <v>160</v>
      </c>
      <c r="D16" s="5">
        <f>INPUTS!C9</f>
        <v>4000</v>
      </c>
      <c r="F16" s="5">
        <f>INPUTS!D9</f>
        <v>40000</v>
      </c>
      <c r="H16" s="5">
        <f>INPUTS!E9</f>
        <v>800000</v>
      </c>
    </row>
    <row r="17" spans="1:8" x14ac:dyDescent="0.25">
      <c r="A17" s="9" t="s">
        <v>81</v>
      </c>
      <c r="B17">
        <f>B15/B16</f>
        <v>1.0630762962962961</v>
      </c>
      <c r="D17">
        <f>D15/D16</f>
        <v>1.0500734222222223</v>
      </c>
      <c r="F17">
        <f>F15/F16</f>
        <v>1.0519325274074074</v>
      </c>
      <c r="H17">
        <f>H15/H16</f>
        <v>1.1144485497420178</v>
      </c>
    </row>
  </sheetData>
  <mergeCells count="4">
    <mergeCell ref="B3:C3"/>
    <mergeCell ref="D3:E3"/>
    <mergeCell ref="F3:G3"/>
    <mergeCell ref="H3:I3"/>
  </mergeCells>
  <pageMargins left="0.7" right="0.7" top="0.78740157499999996" bottom="0.78740157499999996" header="0.3" footer="0.3"/>
  <ignoredErrors>
    <ignoredError sqref="D10:H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3"/>
  <sheetViews>
    <sheetView topLeftCell="A13" workbookViewId="0">
      <selection activeCell="C30" sqref="C30"/>
    </sheetView>
  </sheetViews>
  <sheetFormatPr baseColWidth="10" defaultRowHeight="15" x14ac:dyDescent="0.25"/>
  <cols>
    <col min="1" max="1" width="38.5703125" customWidth="1"/>
    <col min="3" max="4" width="13.42578125" customWidth="1"/>
  </cols>
  <sheetData>
    <row r="1" spans="1:4" ht="45" x14ac:dyDescent="0.25">
      <c r="A1" t="s">
        <v>84</v>
      </c>
      <c r="B1" t="s">
        <v>85</v>
      </c>
      <c r="C1" s="23" t="s">
        <v>101</v>
      </c>
      <c r="D1" s="23" t="s">
        <v>102</v>
      </c>
    </row>
    <row r="3" spans="1:4" x14ac:dyDescent="0.25">
      <c r="A3" t="s">
        <v>86</v>
      </c>
    </row>
    <row r="5" spans="1:4" x14ac:dyDescent="0.25">
      <c r="A5" t="s">
        <v>90</v>
      </c>
    </row>
    <row r="6" spans="1:4" x14ac:dyDescent="0.25">
      <c r="A6" t="s">
        <v>87</v>
      </c>
    </row>
    <row r="7" spans="1:4" x14ac:dyDescent="0.25">
      <c r="A7" t="s">
        <v>88</v>
      </c>
    </row>
    <row r="8" spans="1:4" x14ac:dyDescent="0.25">
      <c r="A8" t="s">
        <v>89</v>
      </c>
    </row>
    <row r="9" spans="1:4" x14ac:dyDescent="0.25">
      <c r="A9" t="s">
        <v>91</v>
      </c>
    </row>
    <row r="11" spans="1:4" x14ac:dyDescent="0.25">
      <c r="A11" t="s">
        <v>92</v>
      </c>
    </row>
    <row r="12" spans="1:4" x14ac:dyDescent="0.25">
      <c r="A12" t="s">
        <v>93</v>
      </c>
    </row>
    <row r="13" spans="1:4" x14ac:dyDescent="0.25">
      <c r="A13" t="s">
        <v>31</v>
      </c>
    </row>
    <row r="14" spans="1:4" x14ac:dyDescent="0.25">
      <c r="A14" t="s">
        <v>94</v>
      </c>
    </row>
    <row r="15" spans="1:4" x14ac:dyDescent="0.25">
      <c r="A15" t="s">
        <v>80</v>
      </c>
    </row>
    <row r="16" spans="1:4" x14ac:dyDescent="0.25">
      <c r="A16" t="s">
        <v>95</v>
      </c>
    </row>
    <row r="18" spans="1:4" x14ac:dyDescent="0.25">
      <c r="A18" t="s">
        <v>96</v>
      </c>
    </row>
    <row r="19" spans="1:4" x14ac:dyDescent="0.25">
      <c r="A19" t="s">
        <v>100</v>
      </c>
      <c r="B19" t="s">
        <v>99</v>
      </c>
      <c r="C19" s="12">
        <f>42.71787*1000</f>
        <v>42717.869999999995</v>
      </c>
      <c r="D19" s="12"/>
    </row>
    <row r="20" spans="1:4" x14ac:dyDescent="0.25">
      <c r="A20" t="s">
        <v>31</v>
      </c>
      <c r="B20" t="s">
        <v>99</v>
      </c>
      <c r="C20" s="12">
        <v>587.26765999999998</v>
      </c>
      <c r="D20" s="12"/>
    </row>
    <row r="21" spans="1:4" x14ac:dyDescent="0.25">
      <c r="A21" t="s">
        <v>94</v>
      </c>
      <c r="B21" t="s">
        <v>99</v>
      </c>
      <c r="C21" s="12">
        <v>54.665120000000002</v>
      </c>
      <c r="D21" s="12"/>
    </row>
    <row r="22" spans="1:4" x14ac:dyDescent="0.25">
      <c r="A22" t="s">
        <v>80</v>
      </c>
      <c r="B22" t="s">
        <v>99</v>
      </c>
      <c r="C22" s="12">
        <v>2168.6023100000002</v>
      </c>
      <c r="D22" s="12"/>
    </row>
    <row r="23" spans="1:4" x14ac:dyDescent="0.25">
      <c r="A23" t="s">
        <v>97</v>
      </c>
      <c r="B23" t="s">
        <v>99</v>
      </c>
      <c r="C23" s="12">
        <v>4344.97</v>
      </c>
      <c r="D23" s="12"/>
    </row>
    <row r="24" spans="1:4" x14ac:dyDescent="0.25">
      <c r="A24" t="s">
        <v>98</v>
      </c>
      <c r="B24" t="s">
        <v>99</v>
      </c>
      <c r="C24" s="12"/>
      <c r="D24" s="12">
        <v>10809.073990000001</v>
      </c>
    </row>
    <row r="25" spans="1:4" x14ac:dyDescent="0.25">
      <c r="A25" t="s">
        <v>104</v>
      </c>
      <c r="B25" t="s">
        <v>99</v>
      </c>
      <c r="C25" s="12">
        <v>9049.49</v>
      </c>
      <c r="D25" s="12"/>
    </row>
    <row r="26" spans="1:4" x14ac:dyDescent="0.25">
      <c r="A26" t="s">
        <v>103</v>
      </c>
      <c r="B26" t="s">
        <v>99</v>
      </c>
      <c r="C26" s="12">
        <v>12509.81</v>
      </c>
      <c r="D26" s="12"/>
    </row>
    <row r="27" spans="1:4" x14ac:dyDescent="0.25">
      <c r="C27" s="12"/>
      <c r="D27" s="12"/>
    </row>
    <row r="28" spans="1:4" x14ac:dyDescent="0.25">
      <c r="A28" t="s">
        <v>65</v>
      </c>
      <c r="B28" t="s">
        <v>99</v>
      </c>
      <c r="C28" s="12">
        <v>157377.26</v>
      </c>
      <c r="D28" s="12">
        <v>82803.460000000006</v>
      </c>
    </row>
    <row r="29" spans="1:4" x14ac:dyDescent="0.25">
      <c r="A29" t="s">
        <v>105</v>
      </c>
      <c r="B29" t="s">
        <v>112</v>
      </c>
      <c r="C29" s="12">
        <f>C34*$B$44*($B$43-$B$42)/1000</f>
        <v>459197.55603699991</v>
      </c>
      <c r="D29" s="12"/>
    </row>
    <row r="30" spans="1:4" x14ac:dyDescent="0.25">
      <c r="A30" t="s">
        <v>114</v>
      </c>
      <c r="B30" t="s">
        <v>112</v>
      </c>
      <c r="C30" s="12">
        <f>C35*$B$47/1000</f>
        <v>55888.118119999999</v>
      </c>
      <c r="D30" s="12">
        <f>D35*$B$47/1000</f>
        <v>18890.336080000001</v>
      </c>
    </row>
    <row r="31" spans="1:4" x14ac:dyDescent="0.25">
      <c r="A31" t="s">
        <v>115</v>
      </c>
      <c r="C31" s="12"/>
      <c r="D31" s="12">
        <f>C28+D28</f>
        <v>240180.72000000003</v>
      </c>
    </row>
    <row r="34" spans="1:4" x14ac:dyDescent="0.25">
      <c r="A34" t="s">
        <v>105</v>
      </c>
      <c r="B34" t="s">
        <v>99</v>
      </c>
      <c r="C34">
        <f>Scenarios!C19</f>
        <v>21971174.93</v>
      </c>
    </row>
    <row r="35" spans="1:4" x14ac:dyDescent="0.25">
      <c r="A35" t="s">
        <v>106</v>
      </c>
      <c r="B35" t="s">
        <v>99</v>
      </c>
      <c r="C35">
        <f>Scenarios!C20</f>
        <v>26512.39</v>
      </c>
      <c r="D35">
        <f>Scenarios!D20</f>
        <v>8961.26</v>
      </c>
    </row>
    <row r="37" spans="1:4" x14ac:dyDescent="0.25">
      <c r="A37" t="s">
        <v>107</v>
      </c>
      <c r="B37" t="s">
        <v>108</v>
      </c>
      <c r="C37">
        <v>26899.16</v>
      </c>
      <c r="D37">
        <v>6207.61</v>
      </c>
    </row>
    <row r="38" spans="1:4" x14ac:dyDescent="0.25">
      <c r="B38" t="s">
        <v>112</v>
      </c>
      <c r="C38" s="12">
        <f>C37*3.6</f>
        <v>96836.975999999995</v>
      </c>
      <c r="D38" s="12">
        <f>D37*3.6</f>
        <v>22347.396000000001</v>
      </c>
    </row>
    <row r="42" spans="1:4" x14ac:dyDescent="0.25">
      <c r="A42" t="s">
        <v>109</v>
      </c>
      <c r="B42">
        <v>15</v>
      </c>
    </row>
    <row r="43" spans="1:4" x14ac:dyDescent="0.25">
      <c r="A43" t="s">
        <v>110</v>
      </c>
      <c r="B43">
        <v>20</v>
      </c>
    </row>
    <row r="44" spans="1:4" x14ac:dyDescent="0.25">
      <c r="A44" t="s">
        <v>111</v>
      </c>
      <c r="B44">
        <v>4.18</v>
      </c>
    </row>
    <row r="46" spans="1:4" x14ac:dyDescent="0.25">
      <c r="A46" t="s">
        <v>113</v>
      </c>
      <c r="B46">
        <v>152</v>
      </c>
    </row>
    <row r="47" spans="1:4" ht="18" x14ac:dyDescent="0.35">
      <c r="A47" t="s">
        <v>131</v>
      </c>
      <c r="B47">
        <v>2108</v>
      </c>
    </row>
    <row r="49" spans="1:7" x14ac:dyDescent="0.25">
      <c r="A49" t="s">
        <v>116</v>
      </c>
      <c r="B49">
        <v>652</v>
      </c>
    </row>
    <row r="50" spans="1:7" x14ac:dyDescent="0.25">
      <c r="A50" t="s">
        <v>117</v>
      </c>
      <c r="B50" s="12">
        <v>1278.0999999999999</v>
      </c>
    </row>
    <row r="55" spans="1:7" x14ac:dyDescent="0.25">
      <c r="A55" t="s">
        <v>118</v>
      </c>
      <c r="B55" t="s">
        <v>119</v>
      </c>
      <c r="F55" t="s">
        <v>130</v>
      </c>
    </row>
    <row r="57" spans="1:7" x14ac:dyDescent="0.25">
      <c r="B57" t="s">
        <v>120</v>
      </c>
      <c r="C57" t="s">
        <v>121</v>
      </c>
      <c r="D57" t="s">
        <v>122</v>
      </c>
    </row>
    <row r="58" spans="1:7" x14ac:dyDescent="0.25">
      <c r="A58" t="s">
        <v>123</v>
      </c>
      <c r="B58">
        <v>108263.27286104301</v>
      </c>
      <c r="C58">
        <v>16413.825651792999</v>
      </c>
      <c r="D58">
        <v>3358.85183005717</v>
      </c>
      <c r="F58">
        <f>(B58+C58)/$B$50</f>
        <v>97.548782186711534</v>
      </c>
      <c r="G58">
        <f>D58/'LCA inventory'!$B$50</f>
        <v>2.6280039355740321</v>
      </c>
    </row>
    <row r="60" spans="1:7" x14ac:dyDescent="0.25">
      <c r="A60" t="s">
        <v>124</v>
      </c>
      <c r="B60" t="s">
        <v>125</v>
      </c>
    </row>
    <row r="62" spans="1:7" x14ac:dyDescent="0.25">
      <c r="B62" t="s">
        <v>120</v>
      </c>
      <c r="C62" t="s">
        <v>121</v>
      </c>
      <c r="D62" t="s">
        <v>122</v>
      </c>
    </row>
    <row r="63" spans="1:7" x14ac:dyDescent="0.25">
      <c r="A63" t="s">
        <v>123</v>
      </c>
      <c r="B63">
        <v>115.671167671565</v>
      </c>
      <c r="C63">
        <v>10.717011487551201</v>
      </c>
      <c r="D63">
        <v>0.47748986112956598</v>
      </c>
      <c r="F63">
        <f>(B63+C63)/$B$50</f>
        <v>9.888755117683766E-2</v>
      </c>
      <c r="G63">
        <f>D63/'LCA inventory'!$B$50</f>
        <v>3.7359350686923248E-4</v>
      </c>
    </row>
    <row r="65" spans="1:7" x14ac:dyDescent="0.25">
      <c r="A65" t="s">
        <v>126</v>
      </c>
      <c r="B65" t="s">
        <v>127</v>
      </c>
    </row>
    <row r="67" spans="1:7" x14ac:dyDescent="0.25">
      <c r="B67" t="s">
        <v>120</v>
      </c>
      <c r="C67" t="s">
        <v>121</v>
      </c>
      <c r="D67" t="s">
        <v>122</v>
      </c>
    </row>
    <row r="68" spans="1:7" x14ac:dyDescent="0.25">
      <c r="A68" t="s">
        <v>123</v>
      </c>
      <c r="B68">
        <v>381.69600743180598</v>
      </c>
      <c r="C68">
        <v>14.248040446212499</v>
      </c>
      <c r="D68">
        <v>3.3720497053997298</v>
      </c>
      <c r="F68">
        <f>(B68+C68)/$B$50</f>
        <v>0.30979113361866717</v>
      </c>
      <c r="G68">
        <f>D68/'LCA inventory'!$B$50</f>
        <v>2.6383301035910571E-3</v>
      </c>
    </row>
    <row r="70" spans="1:7" x14ac:dyDescent="0.25">
      <c r="A70" t="s">
        <v>128</v>
      </c>
      <c r="B70" t="s">
        <v>129</v>
      </c>
    </row>
    <row r="72" spans="1:7" x14ac:dyDescent="0.25">
      <c r="B72" t="s">
        <v>120</v>
      </c>
      <c r="C72" t="s">
        <v>121</v>
      </c>
      <c r="D72" t="s">
        <v>122</v>
      </c>
    </row>
    <row r="73" spans="1:7" x14ac:dyDescent="0.25">
      <c r="A73" t="s">
        <v>123</v>
      </c>
      <c r="B73">
        <v>17127.368672963599</v>
      </c>
      <c r="C73">
        <v>616.41483126340597</v>
      </c>
      <c r="D73">
        <v>274.58726173497701</v>
      </c>
      <c r="F73">
        <f>(B73+C73)/$B$50</f>
        <v>13.882938349289576</v>
      </c>
      <c r="G73">
        <f>D73/'LCA inventory'!$B$50</f>
        <v>0.21484020165478213</v>
      </c>
    </row>
  </sheetData>
  <pageMargins left="0.7" right="0.7" top="0.78740157499999996" bottom="0.78740157499999996" header="0.3" footer="0.3"/>
  <pageSetup paperSize="9" orientation="portrait" horizontalDpi="1200" verticalDpi="12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8" sqref="C38"/>
    </sheetView>
  </sheetViews>
  <sheetFormatPr baseColWidth="10" defaultRowHeight="15" x14ac:dyDescent="0.25"/>
  <cols>
    <col min="1" max="1" width="39.28515625" customWidth="1"/>
    <col min="2" max="2" width="11.5703125" bestFit="1" customWidth="1"/>
    <col min="3" max="3" width="12.5703125" customWidth="1"/>
    <col min="4" max="4" width="11.5703125" bestFit="1" customWidth="1"/>
    <col min="5" max="8" width="14.28515625" customWidth="1"/>
    <col min="9" max="11" width="11.5703125" bestFit="1" customWidth="1"/>
    <col min="12" max="13" width="13" customWidth="1"/>
    <col min="14" max="14" width="13.28515625" customWidth="1"/>
    <col min="15" max="17" width="11.5703125" bestFit="1" customWidth="1"/>
    <col min="18" max="18" width="11.7109375" bestFit="1" customWidth="1"/>
    <col min="19" max="19" width="11.5703125" bestFit="1" customWidth="1"/>
    <col min="20" max="20" width="11.7109375" bestFit="1" customWidth="1"/>
    <col min="21" max="21" width="11.5703125" bestFit="1" customWidth="1"/>
  </cols>
  <sheetData>
    <row r="1" spans="1:21" x14ac:dyDescent="0.25">
      <c r="A1" s="37"/>
      <c r="B1" s="37"/>
      <c r="C1" s="59" t="s">
        <v>200</v>
      </c>
      <c r="D1" s="60"/>
      <c r="E1" s="62" t="s">
        <v>132</v>
      </c>
      <c r="F1" s="62"/>
      <c r="G1" s="62"/>
      <c r="H1" s="62"/>
      <c r="I1" s="62"/>
      <c r="J1" s="62"/>
      <c r="K1" s="62"/>
      <c r="L1" s="61" t="s">
        <v>133</v>
      </c>
      <c r="M1" s="61"/>
      <c r="N1" s="62" t="s">
        <v>322</v>
      </c>
      <c r="O1" s="62"/>
      <c r="P1" s="56" t="s">
        <v>197</v>
      </c>
      <c r="Q1" s="57"/>
      <c r="R1" s="38" t="s">
        <v>198</v>
      </c>
      <c r="S1" s="38"/>
      <c r="T1" s="61" t="s">
        <v>321</v>
      </c>
      <c r="U1" s="61"/>
    </row>
    <row r="2" spans="1:21" x14ac:dyDescent="0.25">
      <c r="A2" s="37" t="s">
        <v>96</v>
      </c>
      <c r="B2" s="37"/>
      <c r="C2" s="37" t="s">
        <v>120</v>
      </c>
      <c r="D2" s="37" t="s">
        <v>121</v>
      </c>
      <c r="E2" s="38" t="s">
        <v>69</v>
      </c>
      <c r="F2" s="38" t="s">
        <v>70</v>
      </c>
      <c r="G2" s="38" t="s">
        <v>71</v>
      </c>
      <c r="H2" s="38" t="s">
        <v>72</v>
      </c>
      <c r="I2" s="38" t="s">
        <v>210</v>
      </c>
      <c r="J2" s="38" t="s">
        <v>120</v>
      </c>
      <c r="K2" s="38" t="s">
        <v>121</v>
      </c>
      <c r="L2" s="37" t="s">
        <v>120</v>
      </c>
      <c r="M2" s="37" t="s">
        <v>121</v>
      </c>
      <c r="N2" s="38" t="s">
        <v>120</v>
      </c>
      <c r="O2" s="38" t="s">
        <v>121</v>
      </c>
      <c r="P2" s="37" t="s">
        <v>120</v>
      </c>
      <c r="Q2" s="37" t="s">
        <v>121</v>
      </c>
      <c r="R2" s="38" t="s">
        <v>120</v>
      </c>
      <c r="S2" s="38" t="s">
        <v>121</v>
      </c>
      <c r="T2" s="37" t="s">
        <v>120</v>
      </c>
      <c r="U2" s="37" t="s">
        <v>121</v>
      </c>
    </row>
    <row r="3" spans="1:21" x14ac:dyDescent="0.25">
      <c r="A3" s="37" t="s">
        <v>100</v>
      </c>
      <c r="B3" s="37" t="s">
        <v>99</v>
      </c>
      <c r="C3" s="39">
        <f>42.71787*1000</f>
        <v>42717.869999999995</v>
      </c>
      <c r="D3" s="39"/>
      <c r="E3" s="40">
        <f>0.66244+2.94235</f>
        <v>3.6047899999999999</v>
      </c>
      <c r="F3" s="40">
        <f>16.51926+34.95511</f>
        <v>51.474369999999993</v>
      </c>
      <c r="G3" s="40">
        <f>165.20653+334.01545</f>
        <v>499.22197999999997</v>
      </c>
      <c r="H3" s="38">
        <f>3304.15853+38859.40603-H26</f>
        <v>31304.965782222222</v>
      </c>
      <c r="I3" s="41">
        <f>SUM(E3:G3)+H26</f>
        <v>11412.899917777777</v>
      </c>
      <c r="J3" s="42">
        <f>I3*(1-$B$45)+H3</f>
        <v>34158.190761666665</v>
      </c>
      <c r="K3" s="43"/>
      <c r="L3" s="39">
        <f>C3</f>
        <v>42717.869999999995</v>
      </c>
      <c r="M3" s="39"/>
      <c r="N3" s="44">
        <v>42717.78</v>
      </c>
      <c r="O3" s="44"/>
      <c r="P3" s="45">
        <f>J3</f>
        <v>34158.190761666665</v>
      </c>
      <c r="Q3" s="39"/>
      <c r="R3" s="44">
        <f>P3*$S$41</f>
        <v>170790.99835062367</v>
      </c>
      <c r="S3" s="44"/>
      <c r="T3" s="39">
        <f>N3*0.8*$U$41</f>
        <v>170870.67166133001</v>
      </c>
      <c r="U3" s="39"/>
    </row>
    <row r="4" spans="1:21" x14ac:dyDescent="0.25">
      <c r="A4" s="37" t="s">
        <v>31</v>
      </c>
      <c r="B4" s="37" t="s">
        <v>99</v>
      </c>
      <c r="C4" s="39">
        <v>587.26765999999998</v>
      </c>
      <c r="D4" s="39"/>
      <c r="E4" s="38">
        <v>0.11158</v>
      </c>
      <c r="F4" s="38">
        <v>2.78247</v>
      </c>
      <c r="G4" s="38">
        <v>27.827089999999998</v>
      </c>
      <c r="H4" s="38">
        <v>556.54651999999999</v>
      </c>
      <c r="I4" s="40">
        <f>SUM(E4:H4)</f>
        <v>587.26765999999998</v>
      </c>
      <c r="J4" s="43">
        <f>I4*(1-$B$45)</f>
        <v>146.81691499999999</v>
      </c>
      <c r="K4" s="43"/>
      <c r="L4" s="39">
        <f t="shared" ref="L4:L10" si="0">C4</f>
        <v>587.26765999999998</v>
      </c>
      <c r="M4" s="39"/>
      <c r="N4" s="44">
        <v>587.26765999999998</v>
      </c>
      <c r="O4" s="44"/>
      <c r="P4" s="45">
        <f t="shared" ref="P4:P7" si="1">J4</f>
        <v>146.81691499999999</v>
      </c>
      <c r="Q4" s="39"/>
      <c r="R4" s="44">
        <f>P4*$S$41</f>
        <v>734.0847664492984</v>
      </c>
      <c r="S4" s="44"/>
      <c r="T4" s="39">
        <f>N4*0.25*$U$41</f>
        <v>734.0826488787103</v>
      </c>
      <c r="U4" s="39"/>
    </row>
    <row r="5" spans="1:21" x14ac:dyDescent="0.25">
      <c r="A5" s="37" t="s">
        <v>32</v>
      </c>
      <c r="B5" s="37" t="s">
        <v>99</v>
      </c>
      <c r="C5" s="39">
        <v>54.665120000000002</v>
      </c>
      <c r="D5" s="39"/>
      <c r="E5" s="38">
        <v>1.039E-2</v>
      </c>
      <c r="F5" s="38">
        <v>0.25900000000000001</v>
      </c>
      <c r="G5" s="38">
        <v>2.5902500000000002</v>
      </c>
      <c r="H5" s="38">
        <v>51.805480000000003</v>
      </c>
      <c r="I5" s="40">
        <f t="shared" ref="I5:I7" si="2">SUM(E5:H5)</f>
        <v>54.665120000000002</v>
      </c>
      <c r="J5" s="43">
        <f>I5*(1-$B$45)</f>
        <v>13.66628</v>
      </c>
      <c r="K5" s="43"/>
      <c r="L5" s="39">
        <f t="shared" si="0"/>
        <v>54.665120000000002</v>
      </c>
      <c r="M5" s="39"/>
      <c r="N5" s="44">
        <v>54.665120000000002</v>
      </c>
      <c r="O5" s="44"/>
      <c r="P5" s="45">
        <f t="shared" si="1"/>
        <v>13.66628</v>
      </c>
      <c r="Q5" s="39"/>
      <c r="R5" s="44">
        <f t="shared" ref="R5:R23" si="3">P5*$S$41</f>
        <v>68.331417820832968</v>
      </c>
      <c r="S5" s="44"/>
      <c r="T5" s="39">
        <f>N5*0.25*$U$41</f>
        <v>68.331220709263249</v>
      </c>
      <c r="U5" s="39"/>
    </row>
    <row r="6" spans="1:21" x14ac:dyDescent="0.25">
      <c r="A6" s="37" t="s">
        <v>80</v>
      </c>
      <c r="B6" s="37" t="s">
        <v>99</v>
      </c>
      <c r="C6" s="39">
        <v>2168.6023100000002</v>
      </c>
      <c r="D6" s="39"/>
      <c r="E6" s="38">
        <v>0.41203000000000001</v>
      </c>
      <c r="F6" s="38">
        <v>10.274839999999999</v>
      </c>
      <c r="G6" s="38">
        <v>102.75705000000001</v>
      </c>
      <c r="H6" s="38">
        <v>2055.1583799999999</v>
      </c>
      <c r="I6" s="40">
        <f t="shared" si="2"/>
        <v>2168.6023</v>
      </c>
      <c r="J6" s="43">
        <f>I6*(1-$B$45)</f>
        <v>542.150575</v>
      </c>
      <c r="K6" s="43"/>
      <c r="L6" s="39">
        <f t="shared" si="0"/>
        <v>2168.6023100000002</v>
      </c>
      <c r="M6" s="39"/>
      <c r="N6" s="44">
        <v>2168.6023</v>
      </c>
      <c r="O6" s="44"/>
      <c r="P6" s="45">
        <f t="shared" si="1"/>
        <v>542.150575</v>
      </c>
      <c r="Q6" s="39"/>
      <c r="R6" s="44">
        <f t="shared" si="3"/>
        <v>2710.7535819645022</v>
      </c>
      <c r="S6" s="44"/>
      <c r="T6" s="39">
        <f>N6*0.25*$U$41</f>
        <v>2710.7457624151543</v>
      </c>
      <c r="U6" s="39"/>
    </row>
    <row r="7" spans="1:21" x14ac:dyDescent="0.25">
      <c r="A7" s="37" t="s">
        <v>33</v>
      </c>
      <c r="B7" s="37" t="s">
        <v>99</v>
      </c>
      <c r="C7" s="39">
        <v>4344.97</v>
      </c>
      <c r="D7" s="39"/>
      <c r="E7" s="38">
        <v>0.88385999999999998</v>
      </c>
      <c r="F7" s="38">
        <v>22.121289999999998</v>
      </c>
      <c r="G7" s="38">
        <v>221.21294</v>
      </c>
      <c r="H7" s="38">
        <v>4100.75</v>
      </c>
      <c r="I7" s="46">
        <f t="shared" si="2"/>
        <v>4344.9680900000003</v>
      </c>
      <c r="J7" s="42">
        <f>C7</f>
        <v>4344.97</v>
      </c>
      <c r="K7" s="38"/>
      <c r="L7" s="39">
        <f t="shared" si="0"/>
        <v>4344.97</v>
      </c>
      <c r="M7" s="39"/>
      <c r="N7" s="44">
        <v>0</v>
      </c>
      <c r="O7" s="44"/>
      <c r="P7" s="45">
        <f t="shared" si="1"/>
        <v>4344.97</v>
      </c>
      <c r="Q7" s="39"/>
      <c r="R7" s="44">
        <f t="shared" si="3"/>
        <v>21724.855665842104</v>
      </c>
      <c r="S7" s="44"/>
      <c r="T7" s="39">
        <v>0</v>
      </c>
      <c r="U7" s="39"/>
    </row>
    <row r="8" spans="1:21" x14ac:dyDescent="0.25">
      <c r="A8" s="37" t="s">
        <v>98</v>
      </c>
      <c r="B8" s="37" t="s">
        <v>99</v>
      </c>
      <c r="C8" s="39"/>
      <c r="D8" s="39">
        <v>10809.073990000001</v>
      </c>
      <c r="E8" s="38"/>
      <c r="F8" s="38"/>
      <c r="G8" s="38"/>
      <c r="H8" s="38"/>
      <c r="I8" s="38"/>
      <c r="J8" s="38"/>
      <c r="K8" s="44">
        <f>D8</f>
        <v>10809.073990000001</v>
      </c>
      <c r="L8" s="39"/>
      <c r="M8" s="39">
        <f t="shared" ref="M8" si="4">D8</f>
        <v>10809.073990000001</v>
      </c>
      <c r="N8" s="44"/>
      <c r="O8" s="44">
        <v>0</v>
      </c>
      <c r="P8" s="39"/>
      <c r="Q8" s="39">
        <f>K8</f>
        <v>10809.073990000001</v>
      </c>
      <c r="R8" s="44"/>
      <c r="S8" s="44">
        <f t="shared" ref="S8:S23" si="5">Q8*$S$41</f>
        <v>54045.384045035527</v>
      </c>
      <c r="T8" s="39"/>
      <c r="U8" s="39">
        <v>0</v>
      </c>
    </row>
    <row r="9" spans="1:21" x14ac:dyDescent="0.25">
      <c r="A9" s="37" t="s">
        <v>104</v>
      </c>
      <c r="B9" s="37" t="s">
        <v>99</v>
      </c>
      <c r="C9" s="39">
        <v>9049.49</v>
      </c>
      <c r="D9" s="39"/>
      <c r="E9" s="38"/>
      <c r="F9" s="38"/>
      <c r="G9" s="38"/>
      <c r="H9" s="38"/>
      <c r="I9" s="38"/>
      <c r="J9" s="44">
        <f>C9</f>
        <v>9049.49</v>
      </c>
      <c r="K9" s="38"/>
      <c r="L9" s="39">
        <f t="shared" si="0"/>
        <v>9049.49</v>
      </c>
      <c r="M9" s="39"/>
      <c r="N9" s="44">
        <v>9194.2000000000007</v>
      </c>
      <c r="O9" s="44"/>
      <c r="P9" s="45">
        <f>J9</f>
        <v>9049.49</v>
      </c>
      <c r="Q9" s="39"/>
      <c r="R9" s="44">
        <f t="shared" si="3"/>
        <v>45247.461800537501</v>
      </c>
      <c r="S9" s="44"/>
      <c r="T9" s="39">
        <f>N9*$U$41</f>
        <v>45970.87937940011</v>
      </c>
      <c r="U9" s="39"/>
    </row>
    <row r="10" spans="1:21" x14ac:dyDescent="0.25">
      <c r="A10" s="37" t="s">
        <v>103</v>
      </c>
      <c r="B10" s="37" t="s">
        <v>99</v>
      </c>
      <c r="C10" s="39">
        <v>12509.81</v>
      </c>
      <c r="D10" s="39"/>
      <c r="E10" s="38"/>
      <c r="F10" s="38"/>
      <c r="G10" s="38"/>
      <c r="H10" s="38"/>
      <c r="I10" s="38"/>
      <c r="J10" s="44">
        <f>C10</f>
        <v>12509.81</v>
      </c>
      <c r="K10" s="38"/>
      <c r="L10" s="39">
        <f t="shared" si="0"/>
        <v>12509.81</v>
      </c>
      <c r="M10" s="39"/>
      <c r="N10" s="44">
        <v>12888.17</v>
      </c>
      <c r="O10" s="44"/>
      <c r="P10" s="45">
        <f>J10</f>
        <v>12509.81</v>
      </c>
      <c r="Q10" s="39"/>
      <c r="R10" s="44">
        <f t="shared" si="3"/>
        <v>62549.066312795752</v>
      </c>
      <c r="S10" s="44"/>
      <c r="T10" s="39">
        <f>N10*$U$41</f>
        <v>64440.680917448291</v>
      </c>
      <c r="U10" s="39"/>
    </row>
    <row r="11" spans="1:21" x14ac:dyDescent="0.25">
      <c r="A11" s="37" t="s">
        <v>134</v>
      </c>
      <c r="B11" s="37"/>
      <c r="C11" s="39"/>
      <c r="D11" s="39"/>
      <c r="E11" s="38"/>
      <c r="F11" s="38"/>
      <c r="G11" s="38"/>
      <c r="H11" s="38"/>
      <c r="I11" s="38"/>
      <c r="J11" s="38"/>
      <c r="K11" s="38"/>
      <c r="L11" s="37"/>
      <c r="M11" s="37"/>
      <c r="N11" s="44"/>
      <c r="O11" s="44"/>
      <c r="P11" s="39"/>
      <c r="Q11" s="39"/>
      <c r="R11" s="44"/>
      <c r="S11" s="44"/>
      <c r="T11" s="37"/>
      <c r="U11" s="37"/>
    </row>
    <row r="12" spans="1:21" x14ac:dyDescent="0.25">
      <c r="A12" s="37"/>
      <c r="B12" s="37"/>
      <c r="C12" s="39"/>
      <c r="D12" s="39"/>
      <c r="E12" s="38"/>
      <c r="F12" s="38"/>
      <c r="G12" s="38"/>
      <c r="H12" s="38"/>
      <c r="I12" s="38"/>
      <c r="J12" s="38"/>
      <c r="K12" s="38"/>
      <c r="L12" s="37"/>
      <c r="M12" s="37"/>
      <c r="N12" s="44"/>
      <c r="O12" s="44"/>
      <c r="P12" s="39"/>
      <c r="Q12" s="39"/>
      <c r="R12" s="44"/>
      <c r="S12" s="44"/>
      <c r="T12" s="37"/>
      <c r="U12" s="37"/>
    </row>
    <row r="13" spans="1:21" x14ac:dyDescent="0.25">
      <c r="A13" s="37" t="s">
        <v>65</v>
      </c>
      <c r="B13" s="37" t="s">
        <v>99</v>
      </c>
      <c r="C13" s="39">
        <v>157377.26</v>
      </c>
      <c r="D13" s="39">
        <v>82803.460000000006</v>
      </c>
      <c r="E13" s="38"/>
      <c r="F13" s="38"/>
      <c r="G13" s="38"/>
      <c r="H13" s="38"/>
      <c r="I13" s="38"/>
      <c r="J13" s="44">
        <f>C13</f>
        <v>157377.26</v>
      </c>
      <c r="K13" s="44">
        <f>D13</f>
        <v>82803.460000000006</v>
      </c>
      <c r="L13" s="39">
        <f>C13*(1-$L$28)</f>
        <v>15737.725999999997</v>
      </c>
      <c r="M13" s="39">
        <f>D13*(1-$L$28)</f>
        <v>8280.3459999999995</v>
      </c>
      <c r="N13" s="44">
        <v>157718.38</v>
      </c>
      <c r="O13" s="44">
        <v>33905.160000000003</v>
      </c>
      <c r="P13" s="39">
        <f>L13</f>
        <v>15737.725999999997</v>
      </c>
      <c r="Q13" s="39">
        <f>M13</f>
        <v>8280.3459999999995</v>
      </c>
      <c r="R13" s="44">
        <f t="shared" si="3"/>
        <v>78688.650521999109</v>
      </c>
      <c r="S13" s="44">
        <f t="shared" si="5"/>
        <v>41401.740797573511</v>
      </c>
      <c r="T13" s="39">
        <f>N13*(1-$L$28)*$U$41</f>
        <v>78858.983086014967</v>
      </c>
      <c r="U13" s="39">
        <f>O13*(1-$L$28)*$U$41</f>
        <v>16952.53551912359</v>
      </c>
    </row>
    <row r="14" spans="1:21" x14ac:dyDescent="0.25">
      <c r="A14" s="37" t="s">
        <v>105</v>
      </c>
      <c r="B14" s="37" t="s">
        <v>112</v>
      </c>
      <c r="C14" s="39">
        <f>$B$35*C19*($B$34-$B$33)/1000</f>
        <v>459197.55603699991</v>
      </c>
      <c r="D14" s="39"/>
      <c r="E14" s="38"/>
      <c r="F14" s="38"/>
      <c r="G14" s="38"/>
      <c r="H14" s="38"/>
      <c r="I14" s="38"/>
      <c r="J14" s="44">
        <f>$B$35*J19*($B$34-$B$33)/1000</f>
        <v>456549.61966899998</v>
      </c>
      <c r="K14" s="44"/>
      <c r="L14" s="39">
        <f>C14</f>
        <v>459197.55603699991</v>
      </c>
      <c r="M14" s="39"/>
      <c r="N14" s="44">
        <f>$B$35*N19*($B$34-$B$33)/1000</f>
        <v>476295.68468899996</v>
      </c>
      <c r="O14" s="44"/>
      <c r="P14" s="39">
        <f>J14</f>
        <v>456549.61966899998</v>
      </c>
      <c r="Q14" s="39"/>
      <c r="R14" s="44">
        <f>P14*$S$41</f>
        <v>2282748.6936858324</v>
      </c>
      <c r="S14" s="44"/>
      <c r="T14" s="50">
        <f>$B$35*T19*($B$34-$B$33)/1000</f>
        <v>2326267.4980819998</v>
      </c>
      <c r="U14" s="51"/>
    </row>
    <row r="15" spans="1:21" x14ac:dyDescent="0.25">
      <c r="A15" s="37" t="s">
        <v>114</v>
      </c>
      <c r="B15" s="37" t="s">
        <v>112</v>
      </c>
      <c r="C15" s="39">
        <f>C20*$B$38/1000</f>
        <v>55888.118119999999</v>
      </c>
      <c r="D15" s="39">
        <f>D20*$B$38/1000</f>
        <v>18890.336080000001</v>
      </c>
      <c r="E15" s="38"/>
      <c r="F15" s="38"/>
      <c r="G15" s="38"/>
      <c r="H15" s="38"/>
      <c r="I15" s="38"/>
      <c r="J15" s="44">
        <f>J20*$B$38/1000</f>
        <v>55888.118119999999</v>
      </c>
      <c r="K15" s="44">
        <f>K20*$B$38/1000</f>
        <v>18890.336080000001</v>
      </c>
      <c r="L15" s="39">
        <f>C15</f>
        <v>55888.118119999999</v>
      </c>
      <c r="M15" s="39">
        <f>D15</f>
        <v>18890.336080000001</v>
      </c>
      <c r="N15" s="44">
        <f>N20*$B$38/1000</f>
        <v>56392.436040000001</v>
      </c>
      <c r="O15" s="44">
        <f>O20*$B$38/1000</f>
        <v>20731.505440000001</v>
      </c>
      <c r="P15" s="39">
        <f t="shared" ref="P15" si="6">L15</f>
        <v>55888.118119999999</v>
      </c>
      <c r="Q15" s="39">
        <f>K15</f>
        <v>18890.336080000001</v>
      </c>
      <c r="R15" s="44">
        <f>P15*$S$41</f>
        <v>279440.66347812174</v>
      </c>
      <c r="S15" s="44">
        <f t="shared" si="5"/>
        <v>94451.705033003556</v>
      </c>
      <c r="T15" s="50">
        <f>T20*$B$38/1000</f>
        <v>281961.31591999996</v>
      </c>
      <c r="U15" s="50">
        <f>U20*$B$38/1000</f>
        <v>103593.97100000001</v>
      </c>
    </row>
    <row r="16" spans="1:21" x14ac:dyDescent="0.25">
      <c r="A16" s="37" t="s">
        <v>115</v>
      </c>
      <c r="B16" s="37"/>
      <c r="C16" s="39"/>
      <c r="D16" s="39">
        <f>C13+D13</f>
        <v>240180.72000000003</v>
      </c>
      <c r="E16" s="38"/>
      <c r="F16" s="38"/>
      <c r="G16" s="38"/>
      <c r="H16" s="38"/>
      <c r="I16" s="38"/>
      <c r="J16" s="38"/>
      <c r="K16" s="44">
        <f>J13+K13</f>
        <v>240180.72000000003</v>
      </c>
      <c r="L16" s="39"/>
      <c r="M16" s="39">
        <f>M13+L13</f>
        <v>24018.071999999996</v>
      </c>
      <c r="N16" s="38"/>
      <c r="O16" s="44">
        <f>N13+O13</f>
        <v>191623.54</v>
      </c>
      <c r="P16" s="39"/>
      <c r="Q16" s="50">
        <f>P13+Q13</f>
        <v>24018.071999999996</v>
      </c>
      <c r="R16" s="44"/>
      <c r="S16" s="44">
        <f t="shared" si="5"/>
        <v>120090.39131957262</v>
      </c>
      <c r="T16" s="37"/>
      <c r="U16" s="50">
        <f>T13+U13</f>
        <v>95811.518605138554</v>
      </c>
    </row>
    <row r="17" spans="1:21" x14ac:dyDescent="0.25">
      <c r="A17" s="37"/>
      <c r="B17" s="37"/>
      <c r="C17" s="37"/>
      <c r="D17" s="37"/>
      <c r="E17" s="38"/>
      <c r="F17" s="38"/>
      <c r="G17" s="38"/>
      <c r="H17" s="38"/>
      <c r="I17" s="38"/>
      <c r="J17" s="38"/>
      <c r="K17" s="38"/>
      <c r="L17" s="37"/>
      <c r="M17" s="37"/>
      <c r="N17" s="38"/>
      <c r="O17" s="38"/>
      <c r="P17" s="39"/>
      <c r="Q17" s="39"/>
      <c r="R17" s="44"/>
      <c r="S17" s="44"/>
      <c r="T17" s="37"/>
      <c r="U17" s="37"/>
    </row>
    <row r="18" spans="1:21" x14ac:dyDescent="0.25">
      <c r="A18" s="37"/>
      <c r="B18" s="37"/>
      <c r="C18" s="37"/>
      <c r="D18" s="37"/>
      <c r="E18" s="38"/>
      <c r="F18" s="38"/>
      <c r="G18" s="38"/>
      <c r="H18" s="38"/>
      <c r="I18" s="38"/>
      <c r="J18" s="38"/>
      <c r="K18" s="38"/>
      <c r="L18" s="37"/>
      <c r="M18" s="37"/>
      <c r="N18" s="38"/>
      <c r="O18" s="38"/>
      <c r="P18" s="39"/>
      <c r="Q18" s="39"/>
      <c r="R18" s="44"/>
      <c r="S18" s="44"/>
      <c r="T18" s="37"/>
      <c r="U18" s="37"/>
    </row>
    <row r="19" spans="1:21" x14ac:dyDescent="0.25">
      <c r="A19" s="37" t="s">
        <v>105</v>
      </c>
      <c r="B19" s="37" t="s">
        <v>99</v>
      </c>
      <c r="C19" s="37">
        <v>21971174.93</v>
      </c>
      <c r="D19" s="37"/>
      <c r="E19" s="38"/>
      <c r="F19" s="38"/>
      <c r="G19" s="38"/>
      <c r="H19" s="38"/>
      <c r="I19" s="38"/>
      <c r="J19" s="38">
        <v>21844479.41</v>
      </c>
      <c r="K19" s="38"/>
      <c r="L19" s="37"/>
      <c r="M19" s="37"/>
      <c r="N19" s="38">
        <v>22789267.210000001</v>
      </c>
      <c r="O19" s="38"/>
      <c r="P19" s="39"/>
      <c r="Q19" s="39"/>
      <c r="R19" s="44"/>
      <c r="S19" s="44"/>
      <c r="T19" s="37">
        <v>111304664.98</v>
      </c>
      <c r="U19" s="37"/>
    </row>
    <row r="20" spans="1:21" x14ac:dyDescent="0.25">
      <c r="A20" s="37" t="s">
        <v>106</v>
      </c>
      <c r="B20" s="37" t="s">
        <v>99</v>
      </c>
      <c r="C20" s="37">
        <v>26512.39</v>
      </c>
      <c r="D20" s="37">
        <v>8961.26</v>
      </c>
      <c r="E20" s="38"/>
      <c r="F20" s="38"/>
      <c r="G20" s="38"/>
      <c r="H20" s="38"/>
      <c r="I20" s="38"/>
      <c r="J20" s="38">
        <v>26512.39</v>
      </c>
      <c r="K20" s="38">
        <v>8961.26</v>
      </c>
      <c r="L20" s="37"/>
      <c r="M20" s="37"/>
      <c r="N20" s="38">
        <v>26751.63</v>
      </c>
      <c r="O20" s="38">
        <v>9834.68</v>
      </c>
      <c r="P20" s="39"/>
      <c r="Q20" s="39"/>
      <c r="R20" s="44"/>
      <c r="S20" s="44"/>
      <c r="T20" s="37">
        <v>133757.74</v>
      </c>
      <c r="U20" s="37">
        <v>49143.25</v>
      </c>
    </row>
    <row r="21" spans="1:21" x14ac:dyDescent="0.25">
      <c r="A21" s="37"/>
      <c r="B21" s="37"/>
      <c r="C21" s="37"/>
      <c r="D21" s="37"/>
      <c r="E21" s="38"/>
      <c r="F21" s="38"/>
      <c r="G21" s="38"/>
      <c r="H21" s="38"/>
      <c r="I21" s="38"/>
      <c r="J21" s="38"/>
      <c r="K21" s="38"/>
      <c r="L21" s="37"/>
      <c r="M21" s="37"/>
      <c r="N21" s="38"/>
      <c r="O21" s="38"/>
      <c r="P21" s="39"/>
      <c r="Q21" s="39"/>
      <c r="R21" s="44"/>
      <c r="S21" s="44"/>
      <c r="T21" s="37"/>
      <c r="U21" s="37"/>
    </row>
    <row r="22" spans="1:21" x14ac:dyDescent="0.25">
      <c r="A22" s="37" t="s">
        <v>107</v>
      </c>
      <c r="B22" s="37" t="s">
        <v>108</v>
      </c>
      <c r="C22" s="37">
        <v>26888.85</v>
      </c>
      <c r="D22" s="37">
        <v>2843.68</v>
      </c>
      <c r="E22" s="38"/>
      <c r="F22" s="38"/>
      <c r="G22" s="38"/>
      <c r="H22" s="38"/>
      <c r="I22" s="38"/>
      <c r="J22" s="38">
        <v>26888.85</v>
      </c>
      <c r="K22" s="38">
        <v>2843.68</v>
      </c>
      <c r="L22" s="37"/>
      <c r="M22" s="37"/>
      <c r="N22" s="38">
        <v>26682.81</v>
      </c>
      <c r="O22" s="38">
        <v>2611.23</v>
      </c>
      <c r="P22" s="39"/>
      <c r="Q22" s="39"/>
      <c r="R22" s="44"/>
      <c r="S22" s="44"/>
      <c r="T22" s="37">
        <v>124139.88</v>
      </c>
      <c r="U22" s="37">
        <v>13543.87</v>
      </c>
    </row>
    <row r="23" spans="1:21" x14ac:dyDescent="0.25">
      <c r="A23" s="37"/>
      <c r="B23" s="37" t="s">
        <v>112</v>
      </c>
      <c r="C23" s="39">
        <f>C22*3.6</f>
        <v>96799.86</v>
      </c>
      <c r="D23" s="39">
        <f>D22*3.6</f>
        <v>10237.248</v>
      </c>
      <c r="E23" s="38"/>
      <c r="F23" s="38"/>
      <c r="G23" s="38"/>
      <c r="H23" s="38"/>
      <c r="I23" s="38"/>
      <c r="J23" s="44">
        <f>J22*3.6</f>
        <v>96799.86</v>
      </c>
      <c r="K23" s="44">
        <f>K22*3.6</f>
        <v>10237.248</v>
      </c>
      <c r="L23" s="39">
        <f>C23</f>
        <v>96799.86</v>
      </c>
      <c r="M23" s="39">
        <f>D23</f>
        <v>10237.248</v>
      </c>
      <c r="N23" s="44">
        <f>N22*3.6</f>
        <v>96058.116000000009</v>
      </c>
      <c r="O23" s="44">
        <f>O22*3.6</f>
        <v>9400.4279999999999</v>
      </c>
      <c r="P23" s="39">
        <f>J23</f>
        <v>96799.86</v>
      </c>
      <c r="Q23" s="39">
        <f>K23</f>
        <v>10237.248</v>
      </c>
      <c r="R23" s="44">
        <f t="shared" si="3"/>
        <v>483999.42622704466</v>
      </c>
      <c r="S23" s="44">
        <f t="shared" si="5"/>
        <v>51186.253349374267</v>
      </c>
      <c r="T23" s="50">
        <f>T22*3.6</f>
        <v>446903.56800000003</v>
      </c>
      <c r="U23" s="50">
        <f>U22*3.6</f>
        <v>48757.932000000001</v>
      </c>
    </row>
    <row r="25" spans="1:21" x14ac:dyDescent="0.25">
      <c r="A25" t="s">
        <v>66</v>
      </c>
      <c r="B25" t="s">
        <v>99</v>
      </c>
      <c r="H25">
        <v>4886.3694500000001</v>
      </c>
    </row>
    <row r="26" spans="1:21" x14ac:dyDescent="0.25">
      <c r="A26" t="s">
        <v>140</v>
      </c>
      <c r="B26" t="s">
        <v>99</v>
      </c>
      <c r="H26">
        <f>H25/INPUTS!B2</f>
        <v>10858.598777777777</v>
      </c>
    </row>
    <row r="28" spans="1:21" x14ac:dyDescent="0.25">
      <c r="A28" t="s">
        <v>141</v>
      </c>
      <c r="B28" t="s">
        <v>142</v>
      </c>
      <c r="L28" s="1">
        <v>0.9</v>
      </c>
      <c r="M28" s="1"/>
    </row>
    <row r="30" spans="1:21" x14ac:dyDescent="0.25">
      <c r="A30" t="s">
        <v>105</v>
      </c>
    </row>
    <row r="31" spans="1:21" x14ac:dyDescent="0.25">
      <c r="A31" t="s">
        <v>106</v>
      </c>
    </row>
    <row r="33" spans="1:21" x14ac:dyDescent="0.25">
      <c r="A33" t="s">
        <v>109</v>
      </c>
      <c r="B33">
        <v>15</v>
      </c>
    </row>
    <row r="34" spans="1:21" x14ac:dyDescent="0.25">
      <c r="A34" t="s">
        <v>110</v>
      </c>
      <c r="B34">
        <v>20</v>
      </c>
    </row>
    <row r="35" spans="1:21" x14ac:dyDescent="0.25">
      <c r="A35" t="s">
        <v>111</v>
      </c>
      <c r="B35">
        <v>4.18</v>
      </c>
    </row>
    <row r="37" spans="1:21" x14ac:dyDescent="0.25">
      <c r="A37" t="s">
        <v>113</v>
      </c>
      <c r="B37">
        <v>152</v>
      </c>
    </row>
    <row r="38" spans="1:21" ht="18" x14ac:dyDescent="0.35">
      <c r="A38" t="s">
        <v>131</v>
      </c>
      <c r="B38">
        <v>2108</v>
      </c>
    </row>
    <row r="40" spans="1:21" x14ac:dyDescent="0.25">
      <c r="A40" t="s">
        <v>116</v>
      </c>
      <c r="C40">
        <v>652</v>
      </c>
      <c r="J40">
        <v>652</v>
      </c>
      <c r="L40">
        <v>652</v>
      </c>
      <c r="N40">
        <v>654</v>
      </c>
      <c r="P40">
        <v>652</v>
      </c>
      <c r="R40">
        <v>652</v>
      </c>
      <c r="T40">
        <v>654</v>
      </c>
    </row>
    <row r="41" spans="1:21" x14ac:dyDescent="0.25">
      <c r="A41" t="s">
        <v>117</v>
      </c>
      <c r="C41" s="12">
        <v>15337.42</v>
      </c>
      <c r="J41" s="12">
        <v>15337.42</v>
      </c>
      <c r="L41" s="12">
        <v>15337.42</v>
      </c>
      <c r="N41" s="12">
        <v>15290.56</v>
      </c>
      <c r="P41" s="12">
        <v>15337.42</v>
      </c>
      <c r="R41" s="12">
        <v>76687.12</v>
      </c>
      <c r="S41">
        <f>R41/P41</f>
        <v>5.0000013040002811</v>
      </c>
      <c r="T41">
        <v>76452.599400000006</v>
      </c>
      <c r="U41">
        <f>T41/N41</f>
        <v>4.9999868807944257</v>
      </c>
    </row>
    <row r="43" spans="1:21" x14ac:dyDescent="0.25">
      <c r="A43" t="s">
        <v>143</v>
      </c>
      <c r="B43">
        <v>39.997</v>
      </c>
    </row>
    <row r="45" spans="1:21" x14ac:dyDescent="0.25">
      <c r="A45" t="s">
        <v>148</v>
      </c>
      <c r="B45" s="1">
        <v>0.75</v>
      </c>
    </row>
    <row r="46" spans="1:21" x14ac:dyDescent="0.25">
      <c r="A46" t="s">
        <v>164</v>
      </c>
      <c r="J46">
        <f>J3/C3</f>
        <v>0.79962298592290926</v>
      </c>
    </row>
    <row r="47" spans="1:21" x14ac:dyDescent="0.25">
      <c r="A47" t="s">
        <v>165</v>
      </c>
      <c r="J47">
        <f>J4/C4</f>
        <v>0.25</v>
      </c>
    </row>
    <row r="48" spans="1:21" x14ac:dyDescent="0.25">
      <c r="A48" t="s">
        <v>167</v>
      </c>
      <c r="J48">
        <f>J5/C5</f>
        <v>0.25</v>
      </c>
    </row>
    <row r="49" spans="1:21" x14ac:dyDescent="0.25">
      <c r="A49" t="s">
        <v>166</v>
      </c>
      <c r="J49">
        <f>J6/C6</f>
        <v>0.24999999884718371</v>
      </c>
    </row>
    <row r="53" spans="1:21" ht="120" customHeight="1" x14ac:dyDescent="0.25">
      <c r="A53" s="37"/>
      <c r="B53" s="58" t="s">
        <v>246</v>
      </c>
      <c r="C53" s="58"/>
      <c r="D53" s="58" t="s">
        <v>335</v>
      </c>
      <c r="E53" s="58"/>
      <c r="F53" s="58" t="s">
        <v>336</v>
      </c>
      <c r="G53" s="58"/>
      <c r="H53" s="58" t="s">
        <v>337</v>
      </c>
      <c r="I53" s="58"/>
      <c r="J53" s="58" t="s">
        <v>341</v>
      </c>
      <c r="K53" s="58"/>
      <c r="L53" s="58" t="s">
        <v>342</v>
      </c>
      <c r="M53" s="58"/>
      <c r="N53" s="58" t="s">
        <v>340</v>
      </c>
      <c r="O53" s="58"/>
      <c r="P53" s="58" t="s">
        <v>338</v>
      </c>
      <c r="Q53" s="58"/>
      <c r="R53" s="58" t="s">
        <v>343</v>
      </c>
      <c r="S53" s="58"/>
      <c r="T53" s="58" t="s">
        <v>339</v>
      </c>
      <c r="U53" s="58"/>
    </row>
    <row r="54" spans="1:21" ht="45" x14ac:dyDescent="0.25">
      <c r="A54" s="37"/>
      <c r="B54" s="53" t="s">
        <v>364</v>
      </c>
      <c r="C54" s="53" t="s">
        <v>365</v>
      </c>
      <c r="D54" s="53" t="s">
        <v>364</v>
      </c>
      <c r="E54" s="53" t="s">
        <v>365</v>
      </c>
      <c r="F54" s="53" t="s">
        <v>364</v>
      </c>
      <c r="G54" s="53" t="s">
        <v>365</v>
      </c>
      <c r="H54" s="53" t="s">
        <v>364</v>
      </c>
      <c r="I54" s="53" t="s">
        <v>365</v>
      </c>
      <c r="J54" s="53" t="s">
        <v>364</v>
      </c>
      <c r="K54" s="53" t="s">
        <v>365</v>
      </c>
      <c r="L54" s="53" t="s">
        <v>364</v>
      </c>
      <c r="M54" s="53" t="s">
        <v>365</v>
      </c>
      <c r="N54" s="53" t="s">
        <v>364</v>
      </c>
      <c r="O54" s="53" t="s">
        <v>365</v>
      </c>
      <c r="P54" s="53" t="s">
        <v>364</v>
      </c>
      <c r="Q54" s="53" t="s">
        <v>365</v>
      </c>
      <c r="R54" s="53" t="s">
        <v>364</v>
      </c>
      <c r="S54" s="53" t="s">
        <v>365</v>
      </c>
      <c r="T54" s="53" t="s">
        <v>364</v>
      </c>
      <c r="U54" s="53" t="s">
        <v>365</v>
      </c>
    </row>
    <row r="55" spans="1:21" x14ac:dyDescent="0.25">
      <c r="A55" s="37" t="s">
        <v>349</v>
      </c>
      <c r="B55" s="56" t="s">
        <v>366</v>
      </c>
      <c r="C55" s="57"/>
      <c r="D55" s="56" t="s">
        <v>367</v>
      </c>
      <c r="E55" s="57"/>
      <c r="F55" s="56" t="s">
        <v>367</v>
      </c>
      <c r="G55" s="57"/>
      <c r="H55" s="56" t="s">
        <v>367</v>
      </c>
      <c r="I55" s="57"/>
      <c r="J55" s="56" t="s">
        <v>178</v>
      </c>
      <c r="K55" s="57"/>
      <c r="L55" s="56" t="s">
        <v>178</v>
      </c>
      <c r="M55" s="57"/>
      <c r="N55" s="56" t="s">
        <v>367</v>
      </c>
      <c r="O55" s="57"/>
      <c r="P55" s="56" t="s">
        <v>367</v>
      </c>
      <c r="Q55" s="57"/>
      <c r="R55" s="56" t="s">
        <v>178</v>
      </c>
      <c r="S55" s="57"/>
      <c r="T55" s="56" t="s">
        <v>367</v>
      </c>
      <c r="U55" s="57"/>
    </row>
    <row r="56" spans="1:21" x14ac:dyDescent="0.25">
      <c r="A56" s="37" t="s">
        <v>350</v>
      </c>
      <c r="B56" s="54">
        <v>0</v>
      </c>
      <c r="C56" s="54"/>
      <c r="D56" s="54">
        <v>39.6</v>
      </c>
      <c r="E56" s="54"/>
      <c r="F56" s="54">
        <v>39.6</v>
      </c>
      <c r="G56" s="54"/>
      <c r="H56" s="54">
        <v>39.6</v>
      </c>
      <c r="I56" s="54"/>
      <c r="J56" s="54">
        <v>7.92</v>
      </c>
      <c r="K56" s="54"/>
      <c r="L56" s="54">
        <v>7.92</v>
      </c>
      <c r="M56" s="54"/>
      <c r="N56" s="54">
        <v>39.6</v>
      </c>
      <c r="O56" s="54"/>
      <c r="P56" s="54">
        <v>39.6</v>
      </c>
      <c r="Q56" s="54"/>
      <c r="R56" s="54">
        <v>7.92</v>
      </c>
      <c r="S56" s="54"/>
      <c r="T56" s="54">
        <v>39.6</v>
      </c>
      <c r="U56" s="54"/>
    </row>
    <row r="57" spans="1:21" x14ac:dyDescent="0.25">
      <c r="A57" s="37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 x14ac:dyDescent="0.25">
      <c r="A58" s="37" t="s">
        <v>351</v>
      </c>
      <c r="B58" s="54"/>
      <c r="C58" s="54"/>
      <c r="D58" s="54">
        <f>$C3</f>
        <v>42717.869999999995</v>
      </c>
      <c r="E58" s="54"/>
      <c r="F58" s="54">
        <f>J3</f>
        <v>34158.190761666665</v>
      </c>
      <c r="G58" s="54"/>
      <c r="H58" s="54">
        <f>L3</f>
        <v>42717.869999999995</v>
      </c>
      <c r="I58" s="54"/>
      <c r="J58" s="54">
        <f>P3</f>
        <v>34158.190761666665</v>
      </c>
      <c r="K58" s="54"/>
      <c r="L58" s="54">
        <f>R3</f>
        <v>170790.99835062367</v>
      </c>
      <c r="M58" s="54"/>
      <c r="N58" s="54">
        <f>L58</f>
        <v>170790.99835062367</v>
      </c>
      <c r="O58" s="54"/>
      <c r="P58" s="54">
        <f>N3</f>
        <v>42717.78</v>
      </c>
      <c r="Q58" s="54"/>
      <c r="R58" s="54">
        <f>T3</f>
        <v>170870.67166133001</v>
      </c>
      <c r="S58" s="54"/>
      <c r="T58" s="54">
        <f>R58</f>
        <v>170870.67166133001</v>
      </c>
      <c r="U58" s="54"/>
    </row>
    <row r="59" spans="1:21" x14ac:dyDescent="0.25">
      <c r="A59" s="37" t="s">
        <v>368</v>
      </c>
      <c r="B59" s="54">
        <f>Reference_system!B16</f>
        <v>1918.2934741011952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 x14ac:dyDescent="0.25">
      <c r="A60" s="37" t="s">
        <v>369</v>
      </c>
      <c r="B60" s="54">
        <f>Reference_system!B18</f>
        <v>727.22969932977514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 x14ac:dyDescent="0.25">
      <c r="A61" s="37" t="s">
        <v>195</v>
      </c>
      <c r="B61" s="54">
        <f>Reference_system!B19</f>
        <v>1854.1994373422697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x14ac:dyDescent="0.25">
      <c r="A62" s="37" t="s">
        <v>191</v>
      </c>
      <c r="B62" s="54">
        <f>Reference_system!B20</f>
        <v>1620.6762481382646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x14ac:dyDescent="0.25">
      <c r="A63" s="37" t="s">
        <v>196</v>
      </c>
      <c r="B63" s="54">
        <f>Reference_system!B21</f>
        <v>2879.4892109863054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 x14ac:dyDescent="0.25">
      <c r="A64" s="37" t="s">
        <v>352</v>
      </c>
      <c r="B64" s="54"/>
      <c r="C64" s="54"/>
      <c r="D64" s="54">
        <f>$C4</f>
        <v>587.26765999999998</v>
      </c>
      <c r="E64" s="54"/>
      <c r="F64" s="54">
        <f>J4</f>
        <v>146.81691499999999</v>
      </c>
      <c r="G64" s="54"/>
      <c r="H64" s="54">
        <f>L4</f>
        <v>587.26765999999998</v>
      </c>
      <c r="I64" s="54"/>
      <c r="J64" s="54">
        <f>P4</f>
        <v>146.81691499999999</v>
      </c>
      <c r="K64" s="54"/>
      <c r="L64" s="54">
        <f>R4</f>
        <v>734.0847664492984</v>
      </c>
      <c r="M64" s="54"/>
      <c r="N64" s="54">
        <f t="shared" ref="N64:O70" si="7">L64</f>
        <v>734.0847664492984</v>
      </c>
      <c r="O64" s="54"/>
      <c r="P64" s="54">
        <f>N4</f>
        <v>587.26765999999998</v>
      </c>
      <c r="Q64" s="54"/>
      <c r="R64" s="54">
        <f>T4</f>
        <v>734.0826488787103</v>
      </c>
      <c r="S64" s="54"/>
      <c r="T64" s="54">
        <f t="shared" ref="T64:T66" si="8">R64</f>
        <v>734.0826488787103</v>
      </c>
      <c r="U64" s="54"/>
    </row>
    <row r="65" spans="1:21" x14ac:dyDescent="0.25">
      <c r="A65" s="37" t="s">
        <v>353</v>
      </c>
      <c r="B65" s="54"/>
      <c r="C65" s="54"/>
      <c r="D65" s="54">
        <f>$C5</f>
        <v>54.665120000000002</v>
      </c>
      <c r="E65" s="54"/>
      <c r="F65" s="54">
        <f>J5</f>
        <v>13.66628</v>
      </c>
      <c r="G65" s="54"/>
      <c r="H65" s="54">
        <f>L5</f>
        <v>54.665120000000002</v>
      </c>
      <c r="I65" s="54"/>
      <c r="J65" s="54">
        <f>P5</f>
        <v>13.66628</v>
      </c>
      <c r="K65" s="54"/>
      <c r="L65" s="54">
        <f>R5</f>
        <v>68.331417820832968</v>
      </c>
      <c r="M65" s="54"/>
      <c r="N65" s="54">
        <f t="shared" si="7"/>
        <v>68.331417820832968</v>
      </c>
      <c r="O65" s="54"/>
      <c r="P65" s="54">
        <f>N5</f>
        <v>54.665120000000002</v>
      </c>
      <c r="Q65" s="54"/>
      <c r="R65" s="54">
        <f>T5</f>
        <v>68.331220709263249</v>
      </c>
      <c r="S65" s="54"/>
      <c r="T65" s="54">
        <f t="shared" si="8"/>
        <v>68.331220709263249</v>
      </c>
      <c r="U65" s="54"/>
    </row>
    <row r="66" spans="1:21" x14ac:dyDescent="0.25">
      <c r="A66" s="37" t="s">
        <v>354</v>
      </c>
      <c r="B66" s="54"/>
      <c r="C66" s="54"/>
      <c r="D66" s="54">
        <f>$C6</f>
        <v>2168.6023100000002</v>
      </c>
      <c r="E66" s="54"/>
      <c r="F66" s="54">
        <f>J6</f>
        <v>542.150575</v>
      </c>
      <c r="G66" s="54"/>
      <c r="H66" s="54">
        <f>L6</f>
        <v>2168.6023100000002</v>
      </c>
      <c r="I66" s="54"/>
      <c r="J66" s="54">
        <f>P6</f>
        <v>542.150575</v>
      </c>
      <c r="K66" s="54"/>
      <c r="L66" s="54">
        <f>R6</f>
        <v>2710.7535819645022</v>
      </c>
      <c r="M66" s="54"/>
      <c r="N66" s="54">
        <f t="shared" si="7"/>
        <v>2710.7535819645022</v>
      </c>
      <c r="O66" s="54"/>
      <c r="P66" s="54">
        <f>N6</f>
        <v>2168.6023</v>
      </c>
      <c r="Q66" s="54"/>
      <c r="R66" s="54">
        <f>T6</f>
        <v>2710.7457624151543</v>
      </c>
      <c r="S66" s="54"/>
      <c r="T66" s="54">
        <f t="shared" si="8"/>
        <v>2710.7457624151543</v>
      </c>
      <c r="U66" s="54"/>
    </row>
    <row r="67" spans="1:21" x14ac:dyDescent="0.25">
      <c r="A67" s="37" t="s">
        <v>355</v>
      </c>
      <c r="B67" s="54"/>
      <c r="C67" s="54"/>
      <c r="D67" s="54">
        <f>$C7</f>
        <v>4344.97</v>
      </c>
      <c r="E67" s="54"/>
      <c r="F67" s="54">
        <f>J7</f>
        <v>4344.97</v>
      </c>
      <c r="G67" s="54"/>
      <c r="H67" s="54">
        <f>L7</f>
        <v>4344.97</v>
      </c>
      <c r="I67" s="54"/>
      <c r="J67" s="54">
        <f>P7</f>
        <v>4344.97</v>
      </c>
      <c r="K67" s="54"/>
      <c r="L67" s="54">
        <f>R7</f>
        <v>21724.855665842104</v>
      </c>
      <c r="M67" s="54"/>
      <c r="N67" s="54">
        <f t="shared" si="7"/>
        <v>21724.855665842104</v>
      </c>
      <c r="O67" s="54"/>
      <c r="P67" s="54"/>
      <c r="Q67" s="54"/>
      <c r="R67" s="54"/>
      <c r="S67" s="54"/>
      <c r="T67" s="54"/>
      <c r="U67" s="54"/>
    </row>
    <row r="68" spans="1:21" x14ac:dyDescent="0.25">
      <c r="A68" s="37" t="s">
        <v>356</v>
      </c>
      <c r="B68" s="54"/>
      <c r="C68" s="54">
        <f>E68</f>
        <v>10809.073990000001</v>
      </c>
      <c r="D68" s="54"/>
      <c r="E68" s="54">
        <f>$D8</f>
        <v>10809.073990000001</v>
      </c>
      <c r="F68" s="54"/>
      <c r="G68" s="54">
        <f>K8</f>
        <v>10809.073990000001</v>
      </c>
      <c r="H68" s="54"/>
      <c r="I68" s="54">
        <f>M8</f>
        <v>10809.073990000001</v>
      </c>
      <c r="J68" s="54"/>
      <c r="K68" s="54">
        <f>Q8</f>
        <v>10809.073990000001</v>
      </c>
      <c r="L68" s="54"/>
      <c r="M68" s="54">
        <f>S8</f>
        <v>54045.384045035527</v>
      </c>
      <c r="N68" s="54"/>
      <c r="O68" s="54">
        <f t="shared" si="7"/>
        <v>54045.384045035527</v>
      </c>
      <c r="P68" s="54"/>
      <c r="Q68" s="54"/>
      <c r="R68" s="54"/>
      <c r="S68" s="54"/>
      <c r="T68" s="54"/>
      <c r="U68" s="54"/>
    </row>
    <row r="69" spans="1:21" x14ac:dyDescent="0.25">
      <c r="A69" s="37" t="s">
        <v>357</v>
      </c>
      <c r="B69" s="54"/>
      <c r="C69" s="54"/>
      <c r="D69" s="54">
        <f>$C9</f>
        <v>9049.49</v>
      </c>
      <c r="E69" s="54"/>
      <c r="F69" s="54">
        <f>J9</f>
        <v>9049.49</v>
      </c>
      <c r="G69" s="54"/>
      <c r="H69" s="54">
        <f>L9</f>
        <v>9049.49</v>
      </c>
      <c r="I69" s="54"/>
      <c r="J69" s="54">
        <f>P9</f>
        <v>9049.49</v>
      </c>
      <c r="K69" s="54"/>
      <c r="L69" s="54">
        <f>R9</f>
        <v>45247.461800537501</v>
      </c>
      <c r="M69" s="54"/>
      <c r="N69" s="54">
        <f t="shared" si="7"/>
        <v>45247.461800537501</v>
      </c>
      <c r="O69" s="54"/>
      <c r="P69" s="54">
        <f>N9</f>
        <v>9194.2000000000007</v>
      </c>
      <c r="Q69" s="54"/>
      <c r="R69" s="54">
        <f>T9</f>
        <v>45970.87937940011</v>
      </c>
      <c r="S69" s="54"/>
      <c r="T69" s="54">
        <f>R69</f>
        <v>45970.87937940011</v>
      </c>
      <c r="U69" s="54"/>
    </row>
    <row r="70" spans="1:21" x14ac:dyDescent="0.25">
      <c r="A70" s="37" t="s">
        <v>358</v>
      </c>
      <c r="B70" s="54"/>
      <c r="C70" s="54"/>
      <c r="D70" s="54">
        <f>$C10</f>
        <v>12509.81</v>
      </c>
      <c r="E70" s="54"/>
      <c r="F70" s="54">
        <f>J10</f>
        <v>12509.81</v>
      </c>
      <c r="G70" s="54"/>
      <c r="H70" s="54">
        <f>L10</f>
        <v>12509.81</v>
      </c>
      <c r="I70" s="54"/>
      <c r="J70" s="54">
        <f>P10</f>
        <v>12509.81</v>
      </c>
      <c r="K70" s="54"/>
      <c r="L70" s="54">
        <f>R10</f>
        <v>62549.066312795752</v>
      </c>
      <c r="M70" s="54"/>
      <c r="N70" s="54">
        <f t="shared" si="7"/>
        <v>62549.066312795752</v>
      </c>
      <c r="O70" s="54"/>
      <c r="P70" s="54">
        <f>N10</f>
        <v>12888.17</v>
      </c>
      <c r="Q70" s="54"/>
      <c r="R70" s="54">
        <f>T10</f>
        <v>64440.680917448291</v>
      </c>
      <c r="S70" s="54"/>
      <c r="T70" s="54">
        <f>R70</f>
        <v>64440.680917448291</v>
      </c>
      <c r="U70" s="54"/>
    </row>
    <row r="71" spans="1:21" x14ac:dyDescent="0.25">
      <c r="A71" s="37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 x14ac:dyDescent="0.25">
      <c r="A72" s="37" t="s">
        <v>359</v>
      </c>
      <c r="B72" s="54"/>
      <c r="C72" s="54">
        <f>E72</f>
        <v>82803.460000000006</v>
      </c>
      <c r="D72" s="54">
        <f>C13</f>
        <v>157377.26</v>
      </c>
      <c r="E72" s="54">
        <f>D13</f>
        <v>82803.460000000006</v>
      </c>
      <c r="F72" s="54">
        <f>J13</f>
        <v>157377.26</v>
      </c>
      <c r="G72" s="54">
        <f>K13</f>
        <v>82803.460000000006</v>
      </c>
      <c r="H72" s="54">
        <f>L13</f>
        <v>15737.725999999997</v>
      </c>
      <c r="I72" s="54">
        <f>M13</f>
        <v>8280.3459999999995</v>
      </c>
      <c r="J72" s="54">
        <f>P13</f>
        <v>15737.725999999997</v>
      </c>
      <c r="K72" s="54">
        <f>Q13</f>
        <v>8280.3459999999995</v>
      </c>
      <c r="L72" s="54">
        <f>R13</f>
        <v>78688.650521999109</v>
      </c>
      <c r="M72" s="54">
        <f>S13</f>
        <v>41401.740797573511</v>
      </c>
      <c r="N72" s="54">
        <f>L72</f>
        <v>78688.650521999109</v>
      </c>
      <c r="O72" s="54">
        <f>M72</f>
        <v>41401.740797573511</v>
      </c>
      <c r="P72" s="54">
        <f>N13</f>
        <v>157718.38</v>
      </c>
      <c r="Q72" s="54">
        <f>O13</f>
        <v>33905.160000000003</v>
      </c>
      <c r="R72" s="54">
        <f>T13</f>
        <v>78858.983086014967</v>
      </c>
      <c r="S72" s="54">
        <f>U13</f>
        <v>16952.53551912359</v>
      </c>
      <c r="T72" s="54">
        <f>R72</f>
        <v>78858.983086014967</v>
      </c>
      <c r="U72" s="54">
        <f>S72</f>
        <v>16952.53551912359</v>
      </c>
    </row>
    <row r="73" spans="1:21" x14ac:dyDescent="0.25">
      <c r="A73" s="37" t="s">
        <v>360</v>
      </c>
      <c r="B73" s="54"/>
      <c r="C73" s="54">
        <f>E73</f>
        <v>240180.72000000003</v>
      </c>
      <c r="D73" s="54"/>
      <c r="E73" s="54">
        <f>D16</f>
        <v>240180.72000000003</v>
      </c>
      <c r="F73" s="54"/>
      <c r="G73" s="54">
        <f>K16</f>
        <v>240180.72000000003</v>
      </c>
      <c r="H73" s="54"/>
      <c r="I73" s="54">
        <f>M16</f>
        <v>24018.071999999996</v>
      </c>
      <c r="J73" s="54"/>
      <c r="K73" s="54">
        <f>Q16</f>
        <v>24018.071999999996</v>
      </c>
      <c r="L73" s="54"/>
      <c r="M73" s="54">
        <f>S16</f>
        <v>120090.39131957262</v>
      </c>
      <c r="N73" s="54"/>
      <c r="O73" s="54">
        <f>M73</f>
        <v>120090.39131957262</v>
      </c>
      <c r="P73" s="54"/>
      <c r="Q73" s="54">
        <f>O16</f>
        <v>191623.54</v>
      </c>
      <c r="R73" s="54"/>
      <c r="S73" s="54">
        <f>U16</f>
        <v>95811.518605138554</v>
      </c>
      <c r="T73" s="54"/>
      <c r="U73" s="54">
        <f>S73</f>
        <v>95811.518605138554</v>
      </c>
    </row>
    <row r="74" spans="1:21" x14ac:dyDescent="0.25">
      <c r="A74" s="37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 x14ac:dyDescent="0.25">
      <c r="A75" s="37" t="s">
        <v>361</v>
      </c>
      <c r="B75" s="54"/>
      <c r="C75" s="54"/>
      <c r="D75" s="54">
        <f>C14</f>
        <v>459197.55603699991</v>
      </c>
      <c r="E75" s="54"/>
      <c r="F75" s="54">
        <f>J14</f>
        <v>456549.61966899998</v>
      </c>
      <c r="G75" s="54"/>
      <c r="H75" s="54">
        <f>L14</f>
        <v>459197.55603699991</v>
      </c>
      <c r="I75" s="54"/>
      <c r="J75" s="54">
        <f>P14</f>
        <v>456549.61966899998</v>
      </c>
      <c r="K75" s="54"/>
      <c r="L75" s="54">
        <f>R14</f>
        <v>2282748.6936858324</v>
      </c>
      <c r="M75" s="54"/>
      <c r="N75" s="54">
        <f>L75</f>
        <v>2282748.6936858324</v>
      </c>
      <c r="O75" s="54"/>
      <c r="P75" s="54">
        <f>N14</f>
        <v>476295.68468899996</v>
      </c>
      <c r="Q75" s="54"/>
      <c r="R75" s="54">
        <f>T14</f>
        <v>2326267.4980819998</v>
      </c>
      <c r="S75" s="54"/>
      <c r="T75" s="54">
        <f>R75</f>
        <v>2326267.4980819998</v>
      </c>
      <c r="U75" s="54"/>
    </row>
    <row r="76" spans="1:21" x14ac:dyDescent="0.25">
      <c r="A76" s="37" t="s">
        <v>362</v>
      </c>
      <c r="B76" s="54">
        <f>Reference_system!B17</f>
        <v>438.61815812337096</v>
      </c>
      <c r="C76" s="54">
        <f>E76</f>
        <v>18890.336080000001</v>
      </c>
      <c r="D76" s="54">
        <f>C15</f>
        <v>55888.118119999999</v>
      </c>
      <c r="E76" s="54">
        <f>D15</f>
        <v>18890.336080000001</v>
      </c>
      <c r="F76" s="54">
        <f>J15</f>
        <v>55888.118119999999</v>
      </c>
      <c r="G76" s="54">
        <f>K15</f>
        <v>18890.336080000001</v>
      </c>
      <c r="H76" s="54">
        <f>L15</f>
        <v>55888.118119999999</v>
      </c>
      <c r="I76" s="54">
        <f>M15</f>
        <v>18890.336080000001</v>
      </c>
      <c r="J76" s="54">
        <f>P15</f>
        <v>55888.118119999999</v>
      </c>
      <c r="K76" s="54">
        <f>Q15</f>
        <v>18890.336080000001</v>
      </c>
      <c r="L76" s="54">
        <f>R15</f>
        <v>279440.66347812174</v>
      </c>
      <c r="M76" s="54">
        <f>S15</f>
        <v>94451.705033003556</v>
      </c>
      <c r="N76" s="54">
        <f t="shared" ref="N76:O77" si="9">L76</f>
        <v>279440.66347812174</v>
      </c>
      <c r="O76" s="54">
        <f t="shared" si="9"/>
        <v>94451.705033003556</v>
      </c>
      <c r="P76" s="54">
        <f>N15</f>
        <v>56392.436040000001</v>
      </c>
      <c r="Q76" s="54">
        <f>O15</f>
        <v>20731.505440000001</v>
      </c>
      <c r="R76" s="54">
        <f>T15</f>
        <v>281961.31591999996</v>
      </c>
      <c r="S76" s="54">
        <f>U15</f>
        <v>103593.97100000001</v>
      </c>
      <c r="T76" s="54">
        <f t="shared" ref="T76:U77" si="10">R76</f>
        <v>281961.31591999996</v>
      </c>
      <c r="U76" s="54">
        <f t="shared" si="10"/>
        <v>103593.97100000001</v>
      </c>
    </row>
    <row r="77" spans="1:21" x14ac:dyDescent="0.25">
      <c r="A77" s="51" t="s">
        <v>363</v>
      </c>
      <c r="B77" s="54"/>
      <c r="C77" s="54">
        <f>E77</f>
        <v>10237.248</v>
      </c>
      <c r="D77" s="54">
        <f>C23</f>
        <v>96799.86</v>
      </c>
      <c r="E77" s="54">
        <f>D23</f>
        <v>10237.248</v>
      </c>
      <c r="F77" s="54">
        <f>J23</f>
        <v>96799.86</v>
      </c>
      <c r="G77" s="54">
        <f>K23</f>
        <v>10237.248</v>
      </c>
      <c r="H77" s="54">
        <f>L23</f>
        <v>96799.86</v>
      </c>
      <c r="I77" s="54">
        <f>M23</f>
        <v>10237.248</v>
      </c>
      <c r="J77" s="54">
        <f>P23</f>
        <v>96799.86</v>
      </c>
      <c r="K77" s="54">
        <f>Q23</f>
        <v>10237.248</v>
      </c>
      <c r="L77" s="54">
        <f>R23</f>
        <v>483999.42622704466</v>
      </c>
      <c r="M77" s="54">
        <f>S23</f>
        <v>51186.253349374267</v>
      </c>
      <c r="N77" s="54">
        <f t="shared" si="9"/>
        <v>483999.42622704466</v>
      </c>
      <c r="O77" s="54">
        <f t="shared" si="9"/>
        <v>51186.253349374267</v>
      </c>
      <c r="P77" s="54">
        <f>N23</f>
        <v>96058.116000000009</v>
      </c>
      <c r="Q77" s="54">
        <f>O23</f>
        <v>9400.4279999999999</v>
      </c>
      <c r="R77" s="54">
        <f>T23</f>
        <v>446903.56800000003</v>
      </c>
      <c r="S77" s="54">
        <f>U23</f>
        <v>48757.932000000001</v>
      </c>
      <c r="T77" s="54">
        <f t="shared" si="10"/>
        <v>446903.56800000003</v>
      </c>
      <c r="U77" s="54">
        <f t="shared" si="10"/>
        <v>48757.932000000001</v>
      </c>
    </row>
  </sheetData>
  <mergeCells count="26">
    <mergeCell ref="C1:D1"/>
    <mergeCell ref="T1:U1"/>
    <mergeCell ref="N1:O1"/>
    <mergeCell ref="L1:M1"/>
    <mergeCell ref="E1:K1"/>
    <mergeCell ref="P1:Q1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</mergeCells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opLeftCell="A13" workbookViewId="0">
      <selection activeCell="B41" sqref="B41"/>
    </sheetView>
  </sheetViews>
  <sheetFormatPr baseColWidth="10" defaultRowHeight="15" x14ac:dyDescent="0.25"/>
  <cols>
    <col min="1" max="1" width="41.85546875" customWidth="1"/>
  </cols>
  <sheetData>
    <row r="1" spans="1:10" x14ac:dyDescent="0.25">
      <c r="B1" t="s">
        <v>153</v>
      </c>
    </row>
    <row r="2" spans="1:10" x14ac:dyDescent="0.25">
      <c r="A2" t="s">
        <v>149</v>
      </c>
      <c r="B2">
        <v>116.09</v>
      </c>
      <c r="E2" t="s">
        <v>135</v>
      </c>
    </row>
    <row r="3" spans="1:10" x14ac:dyDescent="0.25">
      <c r="A3" t="s">
        <v>150</v>
      </c>
      <c r="B3">
        <v>44.01</v>
      </c>
    </row>
    <row r="4" spans="1:10" x14ac:dyDescent="0.25">
      <c r="A4" t="s">
        <v>154</v>
      </c>
      <c r="B4">
        <v>138.12</v>
      </c>
    </row>
    <row r="5" spans="1:10" x14ac:dyDescent="0.25">
      <c r="A5" t="s">
        <v>194</v>
      </c>
      <c r="B5">
        <v>56.105600000000003</v>
      </c>
    </row>
    <row r="6" spans="1:10" x14ac:dyDescent="0.25">
      <c r="A6" t="s">
        <v>192</v>
      </c>
      <c r="B6">
        <v>98.078999999999994</v>
      </c>
    </row>
    <row r="7" spans="1:10" x14ac:dyDescent="0.25">
      <c r="A7" t="s">
        <v>193</v>
      </c>
      <c r="B7">
        <v>174.25899999999999</v>
      </c>
      <c r="E7" t="s">
        <v>136</v>
      </c>
      <c r="F7" t="s">
        <v>137</v>
      </c>
      <c r="J7" t="s">
        <v>190</v>
      </c>
    </row>
    <row r="8" spans="1:10" x14ac:dyDescent="0.25">
      <c r="A8" t="s">
        <v>139</v>
      </c>
      <c r="B8">
        <v>252.8</v>
      </c>
    </row>
    <row r="9" spans="1:10" x14ac:dyDescent="0.25">
      <c r="A9" t="s">
        <v>138</v>
      </c>
      <c r="B9">
        <f>B8/B2</f>
        <v>2.1776208114394007</v>
      </c>
    </row>
    <row r="10" spans="1:10" x14ac:dyDescent="0.25">
      <c r="A10" t="s">
        <v>145</v>
      </c>
      <c r="B10">
        <f>125-20</f>
        <v>105</v>
      </c>
    </row>
    <row r="11" spans="1:10" x14ac:dyDescent="0.25">
      <c r="A11" t="s">
        <v>146</v>
      </c>
      <c r="B11">
        <f>B9*B10</f>
        <v>228.65018520113708</v>
      </c>
    </row>
    <row r="13" spans="1:10" x14ac:dyDescent="0.25">
      <c r="A13" t="s">
        <v>144</v>
      </c>
      <c r="B13" s="1">
        <v>0.56000000000000005</v>
      </c>
    </row>
    <row r="15" spans="1:10" x14ac:dyDescent="0.25">
      <c r="A15" t="s">
        <v>156</v>
      </c>
      <c r="B15">
        <f>1/B13</f>
        <v>1.7857142857142856</v>
      </c>
    </row>
    <row r="16" spans="1:10" x14ac:dyDescent="0.25">
      <c r="A16" t="s">
        <v>157</v>
      </c>
      <c r="B16" s="12">
        <f>B24*B2/1000*B15</f>
        <v>1918.2934741011952</v>
      </c>
      <c r="C16">
        <f>B24*B4/1000</f>
        <v>1278.0999999999999</v>
      </c>
      <c r="D16">
        <f>B16/C16</f>
        <v>1.5008946671631291</v>
      </c>
    </row>
    <row r="17" spans="1:3" x14ac:dyDescent="0.25">
      <c r="A17" t="s">
        <v>152</v>
      </c>
      <c r="B17" s="12">
        <f>B16*B11/1000</f>
        <v>438.61815812337096</v>
      </c>
    </row>
    <row r="18" spans="1:3" x14ac:dyDescent="0.25">
      <c r="A18" t="s">
        <v>151</v>
      </c>
      <c r="B18" s="12">
        <f>B3*B15*B24/1000</f>
        <v>727.22969932977514</v>
      </c>
      <c r="C18" s="12"/>
    </row>
    <row r="19" spans="1:3" x14ac:dyDescent="0.25">
      <c r="A19" t="s">
        <v>195</v>
      </c>
      <c r="B19" s="12">
        <f>B24*2*B15*B5/1000</f>
        <v>1854.1994373422697</v>
      </c>
      <c r="C19" s="12"/>
    </row>
    <row r="20" spans="1:3" x14ac:dyDescent="0.25">
      <c r="A20" t="s">
        <v>191</v>
      </c>
      <c r="B20" s="12">
        <f>B24*B15*B6/1000</f>
        <v>1620.6762481382646</v>
      </c>
      <c r="C20" s="12"/>
    </row>
    <row r="21" spans="1:3" x14ac:dyDescent="0.25">
      <c r="A21" t="s">
        <v>196</v>
      </c>
      <c r="B21" s="12">
        <f>B24*B15*B7/1000</f>
        <v>2879.4892109863054</v>
      </c>
      <c r="C21" s="12"/>
    </row>
    <row r="22" spans="1:3" x14ac:dyDescent="0.25">
      <c r="C22" s="12"/>
    </row>
    <row r="23" spans="1:3" x14ac:dyDescent="0.25">
      <c r="A23" t="s">
        <v>147</v>
      </c>
      <c r="B23" s="25">
        <v>1278.0999999999999</v>
      </c>
      <c r="C23">
        <v>26235.29</v>
      </c>
    </row>
    <row r="24" spans="1:3" x14ac:dyDescent="0.25">
      <c r="A24" t="s">
        <v>155</v>
      </c>
      <c r="B24">
        <f>B23*1000/B4</f>
        <v>9253.5476397335642</v>
      </c>
    </row>
    <row r="26" spans="1:3" x14ac:dyDescent="0.25">
      <c r="A26" t="s">
        <v>189</v>
      </c>
    </row>
    <row r="28" spans="1:3" x14ac:dyDescent="0.25">
      <c r="A28" t="s">
        <v>370</v>
      </c>
      <c r="B28" s="12">
        <v>19642.490000000002</v>
      </c>
    </row>
    <row r="29" spans="1:3" x14ac:dyDescent="0.25">
      <c r="A29" t="s">
        <v>371</v>
      </c>
      <c r="B29" s="12">
        <v>20739.57</v>
      </c>
    </row>
    <row r="30" spans="1:3" x14ac:dyDescent="0.25">
      <c r="A30" t="s">
        <v>372</v>
      </c>
      <c r="B30" s="12">
        <v>59732.32</v>
      </c>
    </row>
    <row r="31" spans="1:3" x14ac:dyDescent="0.25">
      <c r="A31" t="s">
        <v>373</v>
      </c>
      <c r="B31" s="12">
        <v>40604.25</v>
      </c>
    </row>
    <row r="32" spans="1:3" x14ac:dyDescent="0.25">
      <c r="A32" t="s">
        <v>359</v>
      </c>
      <c r="B32" s="12">
        <v>336676.34</v>
      </c>
    </row>
    <row r="34" spans="1:2" x14ac:dyDescent="0.25">
      <c r="A34" t="s">
        <v>374</v>
      </c>
      <c r="B34" s="25">
        <v>798606.01</v>
      </c>
    </row>
    <row r="35" spans="1:2" x14ac:dyDescent="0.25">
      <c r="A35" t="s">
        <v>379</v>
      </c>
      <c r="B35" s="12">
        <f>($B$48/1000*B34*($B$47-$B$46))/$B$49</f>
        <v>18545.406232222223</v>
      </c>
    </row>
    <row r="36" spans="1:2" x14ac:dyDescent="0.25">
      <c r="A36" t="s">
        <v>375</v>
      </c>
      <c r="B36">
        <v>829618.5</v>
      </c>
    </row>
    <row r="37" spans="1:2" x14ac:dyDescent="0.25">
      <c r="A37" t="s">
        <v>376</v>
      </c>
      <c r="B37">
        <v>73594.880000000005</v>
      </c>
    </row>
    <row r="38" spans="1:2" x14ac:dyDescent="0.25">
      <c r="A38" t="s">
        <v>377</v>
      </c>
      <c r="B38" s="25">
        <v>10706.75</v>
      </c>
    </row>
    <row r="39" spans="1:2" x14ac:dyDescent="0.25">
      <c r="A39" t="s">
        <v>381</v>
      </c>
      <c r="B39" s="12">
        <f>(B37+B38)*B52/1000</f>
        <v>177707.83604000002</v>
      </c>
    </row>
    <row r="40" spans="1:2" x14ac:dyDescent="0.25">
      <c r="A40" t="s">
        <v>378</v>
      </c>
      <c r="B40" s="25">
        <v>4058.74</v>
      </c>
    </row>
    <row r="41" spans="1:2" x14ac:dyDescent="0.25">
      <c r="A41" t="s">
        <v>382</v>
      </c>
      <c r="B41" s="12">
        <f>B40*3.6</f>
        <v>14611.464</v>
      </c>
    </row>
    <row r="43" spans="1:2" x14ac:dyDescent="0.25">
      <c r="A43" t="s">
        <v>74</v>
      </c>
    </row>
    <row r="44" spans="1:2" x14ac:dyDescent="0.25">
      <c r="A44" t="s">
        <v>373</v>
      </c>
      <c r="B44">
        <v>926.41</v>
      </c>
    </row>
    <row r="46" spans="1:2" x14ac:dyDescent="0.25">
      <c r="A46" t="s">
        <v>109</v>
      </c>
      <c r="B46">
        <v>15</v>
      </c>
    </row>
    <row r="47" spans="1:2" x14ac:dyDescent="0.25">
      <c r="A47" t="s">
        <v>110</v>
      </c>
      <c r="B47">
        <v>20</v>
      </c>
    </row>
    <row r="48" spans="1:2" x14ac:dyDescent="0.25">
      <c r="A48" t="s">
        <v>111</v>
      </c>
      <c r="B48">
        <v>4.18</v>
      </c>
    </row>
    <row r="49" spans="1:2" x14ac:dyDescent="0.25">
      <c r="A49" t="s">
        <v>380</v>
      </c>
      <c r="B49" s="1">
        <v>0.9</v>
      </c>
    </row>
    <row r="51" spans="1:2" x14ac:dyDescent="0.25">
      <c r="A51" t="s">
        <v>113</v>
      </c>
      <c r="B51">
        <v>152</v>
      </c>
    </row>
    <row r="52" spans="1:2" ht="18" x14ac:dyDescent="0.35">
      <c r="A52" t="s">
        <v>131</v>
      </c>
      <c r="B52">
        <v>2108</v>
      </c>
    </row>
  </sheetData>
  <pageMargins left="0.7" right="0.7" top="0.78740157499999996" bottom="0.78740157499999996" header="0.3" footer="0.3"/>
  <pageSetup paperSize="9" orientation="portrait" horizontalDpi="1200" verticalDpi="12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topLeftCell="A4" workbookViewId="0">
      <selection activeCell="K7" sqref="K7"/>
    </sheetView>
  </sheetViews>
  <sheetFormatPr baseColWidth="10" defaultRowHeight="15" x14ac:dyDescent="0.25"/>
  <cols>
    <col min="1" max="1" width="40.140625" customWidth="1"/>
    <col min="3" max="9" width="13.85546875" customWidth="1"/>
  </cols>
  <sheetData>
    <row r="1" spans="1:11" x14ac:dyDescent="0.25">
      <c r="C1" s="55" t="s">
        <v>132</v>
      </c>
      <c r="D1" s="55"/>
      <c r="E1" s="55"/>
      <c r="F1" s="55"/>
      <c r="G1" s="55"/>
      <c r="H1" s="55"/>
      <c r="I1" s="55"/>
      <c r="K1" t="s">
        <v>158</v>
      </c>
    </row>
    <row r="2" spans="1:11" x14ac:dyDescent="0.25">
      <c r="A2" t="s">
        <v>96</v>
      </c>
      <c r="C2" s="24" t="s">
        <v>69</v>
      </c>
      <c r="D2" s="24" t="s">
        <v>70</v>
      </c>
      <c r="E2" s="24" t="s">
        <v>71</v>
      </c>
      <c r="F2" s="24" t="s">
        <v>72</v>
      </c>
      <c r="G2" s="24" t="s">
        <v>68</v>
      </c>
      <c r="H2" s="24" t="s">
        <v>120</v>
      </c>
      <c r="I2" s="24" t="s">
        <v>121</v>
      </c>
      <c r="K2" s="24" t="s">
        <v>159</v>
      </c>
    </row>
    <row r="3" spans="1:11" x14ac:dyDescent="0.25">
      <c r="A3" t="s">
        <v>100</v>
      </c>
      <c r="B3" t="s">
        <v>99</v>
      </c>
      <c r="C3" s="5">
        <f>Scenarios!E3</f>
        <v>3.6047899999999999</v>
      </c>
      <c r="D3" s="5">
        <f>Scenarios!F3</f>
        <v>51.474369999999993</v>
      </c>
      <c r="E3" s="5">
        <f>Scenarios!G3</f>
        <v>499.22197999999997</v>
      </c>
      <c r="F3">
        <f>F31/INPUTS!B2+F30/INPUTS!B5</f>
        <v>46147.684218390808</v>
      </c>
      <c r="G3" s="5">
        <f>SUM(C3:F3)</f>
        <v>46701.985358390812</v>
      </c>
      <c r="K3">
        <f>Prices!B4</f>
        <v>0.246</v>
      </c>
    </row>
    <row r="4" spans="1:11" x14ac:dyDescent="0.25">
      <c r="A4" t="s">
        <v>31</v>
      </c>
      <c r="B4" t="s">
        <v>99</v>
      </c>
      <c r="K4">
        <f>Prices!B5</f>
        <v>0.8</v>
      </c>
    </row>
    <row r="5" spans="1:11" x14ac:dyDescent="0.25">
      <c r="A5" t="s">
        <v>94</v>
      </c>
      <c r="B5" t="s">
        <v>99</v>
      </c>
      <c r="K5">
        <f>Prices!B7</f>
        <v>0.17899999999999999</v>
      </c>
    </row>
    <row r="6" spans="1:11" x14ac:dyDescent="0.25">
      <c r="A6" t="s">
        <v>80</v>
      </c>
      <c r="B6" t="s">
        <v>99</v>
      </c>
      <c r="K6">
        <f>Prices!B6</f>
        <v>0.27</v>
      </c>
    </row>
    <row r="7" spans="1:11" x14ac:dyDescent="0.25">
      <c r="A7" t="s">
        <v>33</v>
      </c>
      <c r="B7" t="s">
        <v>99</v>
      </c>
      <c r="K7">
        <f>Prices!B8</f>
        <v>0.25</v>
      </c>
    </row>
    <row r="8" spans="1:11" x14ac:dyDescent="0.25">
      <c r="A8" t="s">
        <v>98</v>
      </c>
      <c r="B8" t="s">
        <v>99</v>
      </c>
    </row>
    <row r="9" spans="1:11" x14ac:dyDescent="0.25">
      <c r="A9" t="s">
        <v>104</v>
      </c>
      <c r="B9" t="s">
        <v>99</v>
      </c>
    </row>
    <row r="10" spans="1:11" x14ac:dyDescent="0.25">
      <c r="A10" t="s">
        <v>103</v>
      </c>
      <c r="B10" t="s">
        <v>99</v>
      </c>
    </row>
    <row r="11" spans="1:11" x14ac:dyDescent="0.25">
      <c r="A11" t="s">
        <v>134</v>
      </c>
    </row>
    <row r="13" spans="1:11" x14ac:dyDescent="0.25">
      <c r="A13" t="s">
        <v>65</v>
      </c>
      <c r="B13" t="s">
        <v>99</v>
      </c>
    </row>
    <row r="14" spans="1:11" x14ac:dyDescent="0.25">
      <c r="A14" t="s">
        <v>105</v>
      </c>
      <c r="B14" t="s">
        <v>112</v>
      </c>
    </row>
    <row r="15" spans="1:11" x14ac:dyDescent="0.25">
      <c r="A15" t="s">
        <v>114</v>
      </c>
      <c r="B15" t="s">
        <v>112</v>
      </c>
    </row>
    <row r="16" spans="1:11" x14ac:dyDescent="0.25">
      <c r="A16" t="s">
        <v>115</v>
      </c>
    </row>
    <row r="19" spans="1:6" x14ac:dyDescent="0.25">
      <c r="A19" t="s">
        <v>105</v>
      </c>
      <c r="B19" t="s">
        <v>99</v>
      </c>
    </row>
    <row r="20" spans="1:6" x14ac:dyDescent="0.25">
      <c r="A20" t="s">
        <v>106</v>
      </c>
      <c r="B20" t="s">
        <v>99</v>
      </c>
    </row>
    <row r="22" spans="1:6" x14ac:dyDescent="0.25">
      <c r="A22" t="s">
        <v>107</v>
      </c>
      <c r="B22" t="s">
        <v>108</v>
      </c>
    </row>
    <row r="23" spans="1:6" x14ac:dyDescent="0.25">
      <c r="B23" t="s">
        <v>112</v>
      </c>
    </row>
    <row r="25" spans="1:6" x14ac:dyDescent="0.25">
      <c r="A25" t="s">
        <v>66</v>
      </c>
      <c r="B25" t="s">
        <v>99</v>
      </c>
    </row>
    <row r="26" spans="1:6" x14ac:dyDescent="0.25">
      <c r="A26" t="s">
        <v>140</v>
      </c>
      <c r="B26" t="s">
        <v>99</v>
      </c>
    </row>
    <row r="28" spans="1:6" x14ac:dyDescent="0.25">
      <c r="A28" t="s">
        <v>148</v>
      </c>
      <c r="B28" s="1">
        <v>0.6</v>
      </c>
    </row>
    <row r="30" spans="1:6" x14ac:dyDescent="0.25">
      <c r="A30" t="s">
        <v>162</v>
      </c>
      <c r="B30" t="s">
        <v>99</v>
      </c>
      <c r="F30">
        <v>18420.902600000001</v>
      </c>
    </row>
    <row r="31" spans="1:6" x14ac:dyDescent="0.25">
      <c r="A31" t="s">
        <v>160</v>
      </c>
      <c r="B31" t="s">
        <v>99</v>
      </c>
      <c r="C31">
        <v>1.6222300000000001</v>
      </c>
      <c r="D31">
        <v>24.771260000000002</v>
      </c>
      <c r="E31">
        <v>249.42085</v>
      </c>
      <c r="F31">
        <v>4886.3694500000001</v>
      </c>
    </row>
    <row r="32" spans="1:6" x14ac:dyDescent="0.25">
      <c r="A32" t="s">
        <v>161</v>
      </c>
      <c r="C32">
        <f>C31/C3</f>
        <v>0.45002066694592474</v>
      </c>
      <c r="D32">
        <f>D31/D3</f>
        <v>0.4812348358998858</v>
      </c>
      <c r="E32">
        <f>E31/E3</f>
        <v>0.49961912734691694</v>
      </c>
    </row>
    <row r="33" spans="1:6" x14ac:dyDescent="0.25">
      <c r="A33" t="s">
        <v>163</v>
      </c>
      <c r="B33" t="s">
        <v>99</v>
      </c>
      <c r="C33">
        <v>2.9E-4</v>
      </c>
      <c r="D33">
        <v>3.3279999999999997E-2</v>
      </c>
      <c r="E33">
        <v>3.4419999999999999E-2</v>
      </c>
      <c r="F33">
        <v>843.27197999999999</v>
      </c>
    </row>
    <row r="35" spans="1:6" x14ac:dyDescent="0.25">
      <c r="F35">
        <f>3304.15853+38859.40603</f>
        <v>42163.564559999999</v>
      </c>
    </row>
    <row r="36" spans="1:6" x14ac:dyDescent="0.25">
      <c r="F36">
        <f>F33+F35</f>
        <v>43006.836539999997</v>
      </c>
    </row>
  </sheetData>
  <mergeCells count="1">
    <mergeCell ref="C1:I1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INPUTS</vt:lpstr>
      <vt:lpstr>Salts</vt:lpstr>
      <vt:lpstr>Prices</vt:lpstr>
      <vt:lpstr>Air</vt:lpstr>
      <vt:lpstr>Stoichiometry</vt:lpstr>
      <vt:lpstr>LCA inventory</vt:lpstr>
      <vt:lpstr>Scenarios</vt:lpstr>
      <vt:lpstr>Reference_system</vt:lpstr>
      <vt:lpstr>Biomass recovery</vt:lpstr>
      <vt:lpstr>Heat balance</vt:lpstr>
      <vt:lpstr>LCA_Results</vt:lpstr>
      <vt:lpstr>Result summary</vt:lpstr>
      <vt:lpstr>Bulk materials</vt:lpstr>
      <vt:lpstr>Component balance</vt:lpstr>
    </vt:vector>
  </TitlesOfParts>
  <Company>UFZ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Kohlheb</dc:creator>
  <cp:lastModifiedBy>Norbert Kohlheb</cp:lastModifiedBy>
  <dcterms:created xsi:type="dcterms:W3CDTF">2019-08-27T13:40:41Z</dcterms:created>
  <dcterms:modified xsi:type="dcterms:W3CDTF">2019-11-07T10:45:46Z</dcterms:modified>
</cp:coreProperties>
</file>